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Password="D5A4" lockStructure="1"/>
  <bookViews>
    <workbookView xWindow="0" yWindow="0" windowWidth="20490" windowHeight="8220" tabRatio="511"/>
  </bookViews>
  <sheets>
    <sheet name="Main data" sheetId="3" r:id="rId1"/>
    <sheet name="New Regime" sheetId="4" r:id="rId2"/>
    <sheet name="Old Regime" sheetId="1" r:id="rId3"/>
  </sheets>
  <definedNames>
    <definedName name="Z_E6A9D0A8_5CFD_4D21_BBB4_51B5F05875BD_.wvu.Cols" localSheetId="0" hidden="1">'Main data'!$F:$F</definedName>
    <definedName name="Z_E6A9D0A8_5CFD_4D21_BBB4_51B5F05875BD_.wvu.Rows" localSheetId="2" hidden="1">'Old Regime'!$3:$3,'Old Regime'!$48:$48,'Old Regime'!$51:$51</definedName>
  </definedNames>
  <calcPr calcId="162913"/>
  <customWorkbookViews>
    <customWorkbookView name="-12500" guid="{E6A9D0A8-5CFD-4D21-BBB4-51B5F05875BD}" maximized="1" xWindow="1" yWindow="1" windowWidth="1600" windowHeight="670" activeSheetId="1"/>
  </customWorkbookViews>
</workbook>
</file>

<file path=xl/calcChain.xml><?xml version="1.0" encoding="utf-8"?>
<calcChain xmlns="http://schemas.openxmlformats.org/spreadsheetml/2006/main">
  <c r="G37" i="4" l="1"/>
  <c r="J47" i="4"/>
  <c r="K65" i="4"/>
  <c r="K72" i="4" s="1"/>
  <c r="K66" i="4"/>
  <c r="K67" i="4"/>
  <c r="K68" i="4"/>
  <c r="K69" i="4"/>
  <c r="K70" i="4"/>
  <c r="K71" i="4"/>
  <c r="G54" i="1"/>
  <c r="G53" i="1"/>
  <c r="G52" i="1"/>
  <c r="J29" i="1"/>
  <c r="M11" i="1"/>
  <c r="G55" i="1" l="1"/>
  <c r="G49" i="1"/>
  <c r="G50" i="1" l="1"/>
  <c r="Q20" i="1"/>
  <c r="G20" i="4" l="1"/>
  <c r="G23" i="1"/>
  <c r="F69" i="4" l="1"/>
  <c r="F68" i="4"/>
  <c r="F66" i="4"/>
  <c r="I60" i="4"/>
  <c r="H60" i="4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B60" i="4"/>
  <c r="D15" i="4"/>
  <c r="D14" i="4"/>
  <c r="I13" i="4"/>
  <c r="D13" i="4"/>
  <c r="C60" i="4" l="1"/>
  <c r="E72" i="4"/>
  <c r="F72" i="4"/>
  <c r="G18" i="4" s="1"/>
  <c r="H72" i="4"/>
  <c r="B64" i="4"/>
  <c r="D60" i="4"/>
  <c r="B61" i="4"/>
  <c r="I61" i="4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P27" i="1"/>
  <c r="P28" i="1" s="1"/>
  <c r="O27" i="1"/>
  <c r="M37" i="1"/>
  <c r="M36" i="1"/>
  <c r="M34" i="1"/>
  <c r="G20" i="1" s="1"/>
  <c r="L27" i="1"/>
  <c r="L28" i="1" s="1"/>
  <c r="L30" i="1" s="1"/>
  <c r="L31" i="1" s="1"/>
  <c r="L32" i="1" s="1"/>
  <c r="L33" i="1" s="1"/>
  <c r="L34" i="1" s="1"/>
  <c r="L35" i="1" s="1"/>
  <c r="L36" i="1" s="1"/>
  <c r="L37" i="1" s="1"/>
  <c r="L38" i="1" s="1"/>
  <c r="I27" i="1"/>
  <c r="J27" i="1" s="1"/>
  <c r="R39" i="1"/>
  <c r="R38" i="1"/>
  <c r="R37" i="1"/>
  <c r="R36" i="1"/>
  <c r="R35" i="1"/>
  <c r="R34" i="1"/>
  <c r="R33" i="1"/>
  <c r="G51" i="1"/>
  <c r="G46" i="1"/>
  <c r="G45" i="1"/>
  <c r="G44" i="1"/>
  <c r="G43" i="1"/>
  <c r="G42" i="1"/>
  <c r="G41" i="1"/>
  <c r="G40" i="1"/>
  <c r="G39" i="1"/>
  <c r="G32" i="1"/>
  <c r="D16" i="1"/>
  <c r="D15" i="1"/>
  <c r="G14" i="1"/>
  <c r="D14" i="1"/>
  <c r="F6" i="3"/>
  <c r="G60" i="4" l="1"/>
  <c r="J60" i="4"/>
  <c r="C64" i="4"/>
  <c r="C61" i="4"/>
  <c r="B62" i="4"/>
  <c r="D61" i="4"/>
  <c r="D64" i="4"/>
  <c r="B65" i="4"/>
  <c r="I72" i="4"/>
  <c r="G19" i="1"/>
  <c r="I28" i="1"/>
  <c r="J28" i="1" s="1"/>
  <c r="I32" i="1"/>
  <c r="J32" i="1" s="1"/>
  <c r="K27" i="1"/>
  <c r="N27" i="1" s="1"/>
  <c r="M40" i="1"/>
  <c r="R40" i="1"/>
  <c r="M13" i="1" s="1"/>
  <c r="L39" i="1"/>
  <c r="L40" i="1" s="1"/>
  <c r="O28" i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P30" i="1"/>
  <c r="P31" i="1" s="1"/>
  <c r="P32" i="1" s="1"/>
  <c r="P33" i="1" s="1"/>
  <c r="P34" i="1" s="1"/>
  <c r="P35" i="1" s="1"/>
  <c r="P36" i="1" s="1"/>
  <c r="P37" i="1" s="1"/>
  <c r="P38" i="1" s="1"/>
  <c r="P39" i="1" s="1"/>
  <c r="J64" i="4" l="1"/>
  <c r="J61" i="4"/>
  <c r="C62" i="4"/>
  <c r="C65" i="4"/>
  <c r="K32" i="1"/>
  <c r="I30" i="1"/>
  <c r="J30" i="1" s="1"/>
  <c r="G61" i="4"/>
  <c r="D62" i="4"/>
  <c r="B63" i="4"/>
  <c r="B66" i="4"/>
  <c r="D65" i="4"/>
  <c r="G64" i="4"/>
  <c r="K28" i="1"/>
  <c r="I33" i="1"/>
  <c r="J33" i="1" s="1"/>
  <c r="Q27" i="1"/>
  <c r="O40" i="1"/>
  <c r="G37" i="1" s="1"/>
  <c r="P40" i="1"/>
  <c r="G38" i="1" s="1"/>
  <c r="J65" i="4" l="1"/>
  <c r="J62" i="4"/>
  <c r="C66" i="4"/>
  <c r="C63" i="4"/>
  <c r="Q32" i="1"/>
  <c r="K30" i="1"/>
  <c r="Q30" i="1" s="1"/>
  <c r="I34" i="1"/>
  <c r="J34" i="1" s="1"/>
  <c r="I31" i="1"/>
  <c r="J31" i="1" s="1"/>
  <c r="G62" i="4"/>
  <c r="G65" i="4"/>
  <c r="D63" i="4"/>
  <c r="D66" i="4"/>
  <c r="B67" i="4"/>
  <c r="Q28" i="1"/>
  <c r="N28" i="1"/>
  <c r="N32" i="1"/>
  <c r="K33" i="1"/>
  <c r="G47" i="1"/>
  <c r="G48" i="1" s="1"/>
  <c r="J66" i="4" l="1"/>
  <c r="J63" i="4"/>
  <c r="C67" i="4"/>
  <c r="N30" i="1"/>
  <c r="K31" i="1"/>
  <c r="Q31" i="1" s="1"/>
  <c r="I35" i="1"/>
  <c r="J35" i="1" s="1"/>
  <c r="K34" i="1"/>
  <c r="N34" i="1" s="1"/>
  <c r="G63" i="4"/>
  <c r="D67" i="4"/>
  <c r="B68" i="4"/>
  <c r="G66" i="4"/>
  <c r="N33" i="1"/>
  <c r="Q33" i="1"/>
  <c r="J67" i="4" l="1"/>
  <c r="C68" i="4"/>
  <c r="N31" i="1"/>
  <c r="K35" i="1"/>
  <c r="Q35" i="1" s="1"/>
  <c r="I36" i="1"/>
  <c r="J36" i="1" s="1"/>
  <c r="Q34" i="1"/>
  <c r="G67" i="4"/>
  <c r="B69" i="4"/>
  <c r="D68" i="4"/>
  <c r="J68" i="4" l="1"/>
  <c r="C69" i="4"/>
  <c r="N35" i="1"/>
  <c r="I37" i="1"/>
  <c r="J37" i="1" s="1"/>
  <c r="K36" i="1"/>
  <c r="N36" i="1" s="1"/>
  <c r="G68" i="4"/>
  <c r="D69" i="4"/>
  <c r="B70" i="4"/>
  <c r="J69" i="4" l="1"/>
  <c r="C70" i="4"/>
  <c r="K37" i="1"/>
  <c r="N37" i="1" s="1"/>
  <c r="Q36" i="1"/>
  <c r="I38" i="1"/>
  <c r="J38" i="1" s="1"/>
  <c r="G69" i="4"/>
  <c r="D70" i="4"/>
  <c r="B71" i="4"/>
  <c r="G70" i="4" l="1"/>
  <c r="J70" i="4"/>
  <c r="C71" i="4"/>
  <c r="Q37" i="1"/>
  <c r="K38" i="1"/>
  <c r="N38" i="1" s="1"/>
  <c r="I39" i="1"/>
  <c r="J39" i="1" s="1"/>
  <c r="C72" i="4"/>
  <c r="D71" i="4"/>
  <c r="D72" i="4" s="1"/>
  <c r="B72" i="4"/>
  <c r="J71" i="4" l="1"/>
  <c r="J72" i="4" s="1"/>
  <c r="J40" i="1"/>
  <c r="Q38" i="1"/>
  <c r="K39" i="1"/>
  <c r="K40" i="1" s="1"/>
  <c r="G26" i="1" s="1"/>
  <c r="G17" i="4"/>
  <c r="I40" i="1"/>
  <c r="G71" i="4"/>
  <c r="G72" i="4" s="1"/>
  <c r="G16" i="4"/>
  <c r="G17" i="1" l="1"/>
  <c r="G28" i="1"/>
  <c r="G29" i="1" s="1"/>
  <c r="G18" i="1"/>
  <c r="Q39" i="1"/>
  <c r="Q40" i="1" s="1"/>
  <c r="G31" i="1" s="1"/>
  <c r="N39" i="1"/>
  <c r="N40" i="1" s="1"/>
  <c r="G19" i="4"/>
  <c r="G22" i="4" s="1"/>
  <c r="G23" i="4" s="1"/>
  <c r="G33" i="1" l="1"/>
  <c r="G21" i="1"/>
  <c r="G24" i="1" s="1"/>
  <c r="G34" i="1" l="1"/>
  <c r="M1" i="1" s="1"/>
  <c r="M2" i="1" l="1"/>
  <c r="M4" i="1" s="1"/>
  <c r="M5" i="1"/>
  <c r="M3" i="1" l="1"/>
  <c r="M7" i="1" s="1"/>
  <c r="M8" i="1" s="1"/>
  <c r="M9" i="1" s="1"/>
  <c r="M10" i="1" s="1"/>
  <c r="M12" i="1" s="1"/>
  <c r="M14" i="1" s="1"/>
  <c r="G24" i="4"/>
  <c r="G29" i="4" s="1"/>
  <c r="N28" i="4" l="1"/>
  <c r="N30" i="4"/>
  <c r="N25" i="4"/>
  <c r="G25" i="4" s="1"/>
  <c r="N32" i="4"/>
  <c r="N26" i="4"/>
  <c r="G26" i="4" s="1"/>
  <c r="G32" i="4"/>
  <c r="N33" i="4"/>
  <c r="G30" i="4"/>
  <c r="G33" i="4"/>
  <c r="N29" i="4"/>
  <c r="G28" i="4"/>
  <c r="N27" i="4"/>
  <c r="G27" i="4" s="1"/>
  <c r="G31" i="4" l="1"/>
  <c r="G34" i="4"/>
  <c r="G35" i="4" s="1"/>
  <c r="G36" i="4" s="1"/>
  <c r="G38" i="4" s="1"/>
</calcChain>
</file>

<file path=xl/sharedStrings.xml><?xml version="1.0" encoding="utf-8"?>
<sst xmlns="http://schemas.openxmlformats.org/spreadsheetml/2006/main" count="247" uniqueCount="179">
  <si>
    <t>Designation:</t>
  </si>
  <si>
    <t>Residential Address:</t>
  </si>
  <si>
    <t>Arrear if any</t>
  </si>
  <si>
    <t>Bonus if any</t>
  </si>
  <si>
    <t>TOTAL SALARY</t>
  </si>
  <si>
    <t>INCOME FROM OTHER SOURCES</t>
  </si>
  <si>
    <t>GROSS TOTAL</t>
  </si>
  <si>
    <t>Professional Tax u/s 16(iii) of I.T. Act.</t>
  </si>
  <si>
    <t>G.I.S</t>
  </si>
  <si>
    <t>Re-payment of H.B.Loan</t>
  </si>
  <si>
    <t>P.P.F</t>
  </si>
  <si>
    <t>Tuition Fees paid for child</t>
  </si>
  <si>
    <t>N.S.C</t>
  </si>
  <si>
    <t>L.I.C Premium</t>
  </si>
  <si>
    <t>L.I.C Jevan Suraksha</t>
  </si>
  <si>
    <t>P.L.I premium</t>
  </si>
  <si>
    <t>Others</t>
  </si>
  <si>
    <t>Total</t>
  </si>
  <si>
    <t>RECEIPTS</t>
  </si>
  <si>
    <t>RECOVERIES &amp; DEDUCTIONS</t>
  </si>
  <si>
    <t>Month</t>
  </si>
  <si>
    <t>D.A</t>
  </si>
  <si>
    <t>P.Tax</t>
  </si>
  <si>
    <t>I.Tax</t>
  </si>
  <si>
    <t>H.B.Adv.</t>
  </si>
  <si>
    <t>Bonus / Arrear</t>
  </si>
  <si>
    <t>March</t>
  </si>
  <si>
    <t>April</t>
  </si>
  <si>
    <t>May</t>
  </si>
  <si>
    <t>June</t>
  </si>
  <si>
    <t>July</t>
  </si>
  <si>
    <t xml:space="preserve">Name of the employee: </t>
  </si>
  <si>
    <t>Releif u/s 89 (Form 10E attached):</t>
  </si>
  <si>
    <t>Tax paid at source:</t>
  </si>
  <si>
    <t>EXEMPTION U/S 10 (13A)</t>
  </si>
  <si>
    <t>a) Actual H.R.A received</t>
  </si>
  <si>
    <t>b) Expenditure on rent in excess of 10% of Salary (Pay+D.A)</t>
  </si>
  <si>
    <t>Deduction of H.B Loan Interest U/S 24(i)(iv)</t>
  </si>
  <si>
    <t>Exemption u/s 80-D/80DD/80DDB/80E etc.</t>
  </si>
  <si>
    <t>Nil</t>
  </si>
  <si>
    <t>Sept.</t>
  </si>
  <si>
    <t>Oct.</t>
  </si>
  <si>
    <t>Nov.</t>
  </si>
  <si>
    <t>Dec.</t>
  </si>
  <si>
    <t>Jan.</t>
  </si>
  <si>
    <t>Feb.</t>
  </si>
  <si>
    <t>Aug.</t>
  </si>
  <si>
    <t>Date:</t>
  </si>
  <si>
    <t>Signature:</t>
  </si>
  <si>
    <t>A.</t>
  </si>
  <si>
    <t xml:space="preserve">DEDUCTION UNDER CHAPTER VIA. </t>
  </si>
  <si>
    <t>COUNTERSIGNED</t>
  </si>
  <si>
    <t>(D.D.O)</t>
  </si>
  <si>
    <t>c) Rs. 5,00,000/- to 10,00,000/-</t>
  </si>
  <si>
    <t>d) Above Rs. 10,00,000</t>
  </si>
  <si>
    <t>Name</t>
  </si>
  <si>
    <t>Designation</t>
  </si>
  <si>
    <t>PAN No.</t>
  </si>
  <si>
    <t>Residential Address</t>
  </si>
  <si>
    <t>Basic Pay at March</t>
  </si>
  <si>
    <t>GIS</t>
  </si>
  <si>
    <t>Earnings</t>
  </si>
  <si>
    <t>Deduction</t>
  </si>
  <si>
    <t>Tax Savings</t>
  </si>
  <si>
    <t>H.B.Loan Interest</t>
  </si>
  <si>
    <t>H.B.Loan Repayment</t>
  </si>
  <si>
    <t>LIC Jevan Suraksha</t>
  </si>
  <si>
    <t>Any other item ( N.S.C &amp; Bank Interest etc.)</t>
  </si>
  <si>
    <t>Income Tax paid</t>
  </si>
  <si>
    <t>Arrear (If any)</t>
  </si>
  <si>
    <t>2nd time</t>
  </si>
  <si>
    <t>3rd time</t>
  </si>
  <si>
    <t>August</t>
  </si>
  <si>
    <t>September</t>
  </si>
  <si>
    <t>November</t>
  </si>
  <si>
    <t>December</t>
  </si>
  <si>
    <t>January</t>
  </si>
  <si>
    <t>February</t>
  </si>
  <si>
    <t>October</t>
  </si>
  <si>
    <t>Signature</t>
  </si>
  <si>
    <t>T.V.No. &amp; Date</t>
  </si>
  <si>
    <t>Relief u/s 89 (Form 10E attached):</t>
  </si>
  <si>
    <t>Exemption U/S 80-C(limit upto 1,50,000/-) including 80-CCC</t>
  </si>
  <si>
    <t>b) Rs. 2,50,001/- to 5,00,000/-</t>
  </si>
  <si>
    <t>a) Upto Rs. 2,50,000/-(For Men)</t>
  </si>
  <si>
    <t>Income Tax payable (as per above rate):</t>
  </si>
  <si>
    <t>a) Upto Rs. 2,50,000/-(For Women)</t>
  </si>
  <si>
    <t>Rs.25,000/-+(10,00,000--5,00,000) X 20%</t>
  </si>
  <si>
    <t>Exemption u/s 80-D/80DD/80DDB/80E/80CCD etc.</t>
  </si>
  <si>
    <t>HRA</t>
  </si>
  <si>
    <t>MA</t>
  </si>
  <si>
    <t>GPF</t>
  </si>
  <si>
    <t>B.P</t>
  </si>
  <si>
    <t>G.P.F</t>
  </si>
  <si>
    <t>Salary Income with allowances &amp; fixed Medical allowances excluding H.R.A</t>
  </si>
  <si>
    <t>House Rent Allowance</t>
  </si>
  <si>
    <t>Exemption U/s 80 TTA (Bank Int. upto 10000)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</si>
  <si>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</si>
  <si>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</si>
  <si>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</si>
  <si>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</si>
  <si>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</si>
  <si>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</si>
  <si>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</si>
  <si>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</si>
  <si>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</si>
  <si>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</si>
  <si>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Taxable Income (9-13):</t>
  </si>
  <si>
    <t>Medical Allowance</t>
  </si>
  <si>
    <t>(</t>
  </si>
  <si>
    <t>Rs.(5,00,000--2,50,000) X 5%</t>
  </si>
  <si>
    <t xml:space="preserve">) </t>
  </si>
  <si>
    <t>Rs.12,500/-+(10,00,000--5,00,000) X 20%</t>
  </si>
  <si>
    <t>Rs.1,12,500/-+(10,00,000--of Above) X 30%</t>
  </si>
  <si>
    <t>TOTAL DEDUCTION (6+7+8+9)</t>
  </si>
  <si>
    <t xml:space="preserve">GROSS TOTAL INCOME </t>
  </si>
  <si>
    <t>Total Income Tax payable (16+17)</t>
  </si>
  <si>
    <t>Net Tax Payable / Refundable (20-21)</t>
  </si>
  <si>
    <t>Tax relief u/s 87A (Tax Rebate Rs.12500 if taxable income not exceeds Rs 500000)</t>
  </si>
  <si>
    <t>Bonus (If any)</t>
  </si>
  <si>
    <t>Standard Deduction (Salaried Individual upto 50000)</t>
  </si>
  <si>
    <t>Basic Pay as on March</t>
  </si>
  <si>
    <t>Association of Land &amp; Land Reforms Officers, West Bengal</t>
  </si>
  <si>
    <t>_______</t>
  </si>
  <si>
    <r>
      <t xml:space="preserve">2) Compare both Reglmes and take your choice, </t>
    </r>
    <r>
      <rPr>
        <sz val="28"/>
        <color rgb="FFFF0000"/>
        <rFont val="Calibri"/>
        <family val="2"/>
      </rPr>
      <t>Print</t>
    </r>
    <r>
      <rPr>
        <sz val="28"/>
        <rFont val="Calibri"/>
        <family val="2"/>
      </rPr>
      <t xml:space="preserve"> out</t>
    </r>
    <r>
      <rPr>
        <sz val="28"/>
        <color theme="1"/>
        <rFont val="Calibri"/>
        <family val="2"/>
      </rPr>
      <t xml:space="preserve"> you choice either </t>
    </r>
    <r>
      <rPr>
        <sz val="28"/>
        <color rgb="FFFF0000"/>
        <rFont val="Calibri"/>
        <family val="2"/>
      </rPr>
      <t xml:space="preserve">Old Regime </t>
    </r>
    <r>
      <rPr>
        <sz val="28"/>
        <color theme="1"/>
        <rFont val="Calibri"/>
        <family val="2"/>
      </rPr>
      <t>or</t>
    </r>
    <r>
      <rPr>
        <sz val="28"/>
        <color rgb="FFFF0000"/>
        <rFont val="Calibri"/>
        <family val="2"/>
      </rPr>
      <t xml:space="preserve"> New Regime</t>
    </r>
  </si>
  <si>
    <r>
      <t xml:space="preserve">Note:-   </t>
    </r>
    <r>
      <rPr>
        <sz val="20"/>
        <color rgb="FFC00000"/>
        <rFont val="Calibri"/>
        <family val="2"/>
      </rPr>
      <t>1) Just Input data in this sheet, necessary data will be automatically circulate to other sheets (Old Regime &amp; New Regime).</t>
    </r>
  </si>
  <si>
    <t>Exemption u/s 80CCD1(B) Contribution of NPS</t>
  </si>
  <si>
    <t>Other Income including FD</t>
  </si>
  <si>
    <t>Savings Bank Interest</t>
  </si>
  <si>
    <r>
      <t xml:space="preserve">GIS </t>
    </r>
    <r>
      <rPr>
        <b/>
        <i/>
        <sz val="10"/>
        <rFont val="Arial"/>
        <family val="2"/>
      </rPr>
      <t>(Monthly)</t>
    </r>
  </si>
  <si>
    <t xml:space="preserve">c) 40% of Salary (Pay+D.A) </t>
  </si>
  <si>
    <t>Least of a.b.c in exempted</t>
  </si>
  <si>
    <t>Exemption u/s 80-G</t>
  </si>
  <si>
    <r>
      <t xml:space="preserve">3) You may manually fill data of </t>
    </r>
    <r>
      <rPr>
        <sz val="18"/>
        <color rgb="FFFF0000"/>
        <rFont val="Arial"/>
        <family val="2"/>
      </rPr>
      <t>BP,</t>
    </r>
    <r>
      <rPr>
        <sz val="18"/>
        <rFont val="Arial"/>
        <family val="2"/>
      </rPr>
      <t xml:space="preserve"> </t>
    </r>
    <r>
      <rPr>
        <sz val="18"/>
        <color rgb="FFFF0000"/>
        <rFont val="Arial"/>
        <family val="2"/>
      </rPr>
      <t xml:space="preserve">HRA, MA, GPF, GIS, Income Tax advance, HB advance and TV No. Date  </t>
    </r>
    <r>
      <rPr>
        <sz val="18"/>
        <rFont val="Arial"/>
        <family val="2"/>
      </rPr>
      <t>in both Old and New Reglme Sheet</t>
    </r>
  </si>
  <si>
    <r>
      <t xml:space="preserve">G.P.F
</t>
    </r>
    <r>
      <rPr>
        <b/>
        <i/>
        <sz val="10"/>
        <rFont val="Arial"/>
        <family val="2"/>
      </rPr>
      <t>(Monthly)</t>
    </r>
  </si>
  <si>
    <t>Self, Spouse, &amp; Dependent Children</t>
  </si>
  <si>
    <t xml:space="preserve"> Perents</t>
  </si>
  <si>
    <t>Sn Citizen Perents</t>
  </si>
  <si>
    <t>P.L.I.</t>
  </si>
  <si>
    <t>Note: Return U/S 139 is not be furnished where income does not exceeds Rs.2,50,000/- (Old Reglme) or Rs. 3,00,000 (New Reglme)</t>
  </si>
  <si>
    <t>Arrear/ Bonus if any</t>
  </si>
  <si>
    <t>Rs.1,25,000/-+(Above 10,00,000--10,00,000) X 30%</t>
  </si>
  <si>
    <t xml:space="preserve">PAN: </t>
  </si>
  <si>
    <t>PAN:</t>
  </si>
  <si>
    <t>Rounded off to the nearest multiple of Rs 10/-</t>
  </si>
  <si>
    <t>In Words:</t>
  </si>
  <si>
    <t>Net Tax Payable / Refundable (12-13)</t>
  </si>
  <si>
    <t>Income Tax payable</t>
  </si>
  <si>
    <t>Net Tax Payable (21-22):</t>
  </si>
  <si>
    <t>Yearly Salary Statement (Accounting Year: 2024-25)</t>
  </si>
  <si>
    <t>INCOME TAX  for Financial Year 2024-25 and Assessment Year 2025-26</t>
  </si>
  <si>
    <t>Health &amp; Education Cess @ 4% on tax payable:</t>
  </si>
  <si>
    <t>Exemption U/s 80U (Flat 75000 discount for suffering from at least 40% disability)</t>
  </si>
  <si>
    <t>Total Deduction (10+11+12+13+14+15)</t>
  </si>
  <si>
    <t>NPS U/S
 80CC D1(B)</t>
  </si>
  <si>
    <t>Exemption u/s 80U Person with disabilities</t>
  </si>
  <si>
    <t>INCOME</t>
  </si>
  <si>
    <t>NEW Regime</t>
  </si>
  <si>
    <t>Rs. 0 to Rs. 4L</t>
  </si>
  <si>
    <t>Rs. 4L to Rs. 8L</t>
  </si>
  <si>
    <t>Rs. 8L to Rs. 12L</t>
  </si>
  <si>
    <t>Rs. 12L to Rs. 16L</t>
  </si>
  <si>
    <t>Rs. 16L to Rs. 20L</t>
  </si>
  <si>
    <t>Rs. 20L to Rs. 24L</t>
  </si>
  <si>
    <t>&gt; Rs. 24L</t>
  </si>
  <si>
    <t>Slab 5%</t>
  </si>
  <si>
    <t>Slab 10%</t>
  </si>
  <si>
    <t>Slab 15%</t>
  </si>
  <si>
    <t>Slab 20%</t>
  </si>
  <si>
    <t>Slab 25%</t>
  </si>
  <si>
    <t>Slab 30%</t>
  </si>
  <si>
    <t>Tax Rebate</t>
  </si>
  <si>
    <t>Surcharge 10%</t>
  </si>
  <si>
    <t>Surcharge 15%</t>
  </si>
  <si>
    <t>Cess 4%</t>
  </si>
  <si>
    <r>
      <t xml:space="preserve">Standard Deduction </t>
    </r>
    <r>
      <rPr>
        <sz val="8"/>
        <rFont val="Arial"/>
        <family val="2"/>
      </rPr>
      <t>(Salaried Individual upto 75000)</t>
    </r>
  </si>
  <si>
    <t>Declaration of Income/ Investment (Form 12BB) for  Assessment Year:(2026-27)</t>
  </si>
  <si>
    <r>
      <t xml:space="preserve">(Financial Year 2025-26)                                                         </t>
    </r>
    <r>
      <rPr>
        <b/>
        <u/>
        <sz val="12"/>
        <rFont val="Arial"/>
        <family val="2"/>
      </rPr>
      <t xml:space="preserve"> (Old Regime)</t>
    </r>
  </si>
  <si>
    <r>
      <t xml:space="preserve">(Financial Year 2025-26)                                                             </t>
    </r>
    <r>
      <rPr>
        <b/>
        <u/>
        <sz val="12"/>
        <rFont val="Arial"/>
        <family val="2"/>
      </rPr>
      <t xml:space="preserve">  (New Regime)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</si>
</sst>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\ #,##0"/>
  </numFmts>
  <fonts count="4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name val="Arial"/>
    </font>
    <font>
      <sz val="10"/>
      <name val="Arial"/>
      <family val="2"/>
    </font>
    <font>
      <i/>
      <u/>
      <sz val="10"/>
      <name val="Arial"/>
      <family val="2"/>
    </font>
    <font>
      <b/>
      <i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36"/>
      <color rgb="FF7030A0"/>
      <name val="Segoe Script"/>
      <family val="2"/>
    </font>
    <font>
      <b/>
      <sz val="36"/>
      <color theme="0"/>
      <name val="Arial"/>
      <family val="2"/>
    </font>
    <font>
      <sz val="20"/>
      <name val="Calibri"/>
      <family val="2"/>
    </font>
    <font>
      <sz val="20"/>
      <name val="Arial"/>
      <family val="2"/>
    </font>
    <font>
      <sz val="20"/>
      <color rgb="FFC00000"/>
      <name val="Calibri"/>
      <family val="2"/>
    </font>
    <font>
      <b/>
      <sz val="11"/>
      <color rgb="FFFF0000"/>
      <name val="Arial"/>
      <family val="2"/>
    </font>
    <font>
      <b/>
      <sz val="10"/>
      <color theme="8" tint="-0.499984740745262"/>
      <name val="Arial"/>
      <family val="2"/>
    </font>
    <font>
      <u/>
      <sz val="11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28"/>
      <name val="Calibri"/>
      <family val="2"/>
    </font>
    <font>
      <sz val="28"/>
      <color rgb="FFFF0000"/>
      <name val="Calibri"/>
      <family val="2"/>
    </font>
    <font>
      <sz val="28"/>
      <color theme="1"/>
      <name val="Calibri"/>
      <family val="2"/>
    </font>
    <font>
      <b/>
      <sz val="10"/>
      <color theme="3" tint="-0.249977111117893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theme="6" tint="-0.499984740745262"/>
      <name val="Arial"/>
      <family val="2"/>
    </font>
    <font>
      <b/>
      <i/>
      <sz val="10"/>
      <name val="Arial"/>
      <family val="2"/>
    </font>
    <font>
      <b/>
      <sz val="20"/>
      <color rgb="FFFF0000"/>
      <name val="Arial"/>
      <family val="2"/>
    </font>
    <font>
      <u/>
      <sz val="13"/>
      <name val="Arial"/>
      <family val="2"/>
    </font>
    <font>
      <b/>
      <i/>
      <sz val="11"/>
      <name val="Arial"/>
      <family val="2"/>
    </font>
    <font>
      <u/>
      <sz val="8"/>
      <name val="Times New Roman"/>
      <family val="1"/>
    </font>
    <font>
      <u/>
      <sz val="9"/>
      <name val="Times New Roman"/>
      <family val="1"/>
    </font>
    <font>
      <b/>
      <sz val="6"/>
      <name val="Arial"/>
      <family val="2"/>
    </font>
    <font>
      <sz val="7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6"/>
      <color theme="1"/>
      <name val="Calibri"/>
      <family val="2"/>
    </font>
    <font>
      <b/>
      <u/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theme="2" tint="-0.249977111117893"/>
        <bgColor rgb="FF00B05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0" fillId="12" borderId="1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15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18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14" borderId="1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/>
      <protection hidden="1"/>
    </xf>
    <xf numFmtId="0" fontId="0" fillId="18" borderId="1" xfId="0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0" fillId="15" borderId="1" xfId="0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19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5" fillId="0" borderId="3" xfId="0" applyFont="1" applyBorder="1"/>
    <xf numFmtId="0" fontId="1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36" fillId="0" borderId="0" xfId="0" applyFont="1"/>
    <xf numFmtId="0" fontId="7" fillId="4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3" fillId="11" borderId="4" xfId="0" applyFont="1" applyFill="1" applyBorder="1" applyAlignment="1">
      <alignment horizontal="center" vertical="center" wrapText="1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/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/>
    <xf numFmtId="0" fontId="43" fillId="22" borderId="1" xfId="0" applyFont="1" applyFill="1" applyBorder="1"/>
    <xf numFmtId="0" fontId="42" fillId="22" borderId="0" xfId="0" applyFont="1" applyFill="1" applyBorder="1"/>
    <xf numFmtId="164" fontId="42" fillId="22" borderId="0" xfId="0" applyNumberFormat="1" applyFont="1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44" fillId="0" borderId="2" xfId="0" applyNumberFormat="1" applyFont="1" applyBorder="1" applyAlignment="1">
      <alignment horizontal="center" vertical="center" wrapText="1"/>
    </xf>
    <xf numFmtId="164" fontId="24" fillId="0" borderId="0" xfId="0" applyNumberFormat="1" applyFont="1" applyBorder="1" applyAlignment="1">
      <alignment horizontal="center" vertical="center"/>
    </xf>
    <xf numFmtId="0" fontId="42" fillId="22" borderId="0" xfId="0" applyNumberFormat="1" applyFont="1" applyFill="1" applyBorder="1" applyAlignment="1">
      <alignment horizontal="center" vertical="center"/>
    </xf>
    <xf numFmtId="0" fontId="42" fillId="23" borderId="0" xfId="0" applyNumberFormat="1" applyFont="1" applyFill="1" applyBorder="1" applyAlignment="1">
      <alignment horizontal="center" vertical="center"/>
    </xf>
    <xf numFmtId="0" fontId="41" fillId="2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 wrapText="1"/>
    </xf>
    <xf numFmtId="0" fontId="14" fillId="16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left" vertical="center"/>
    </xf>
    <xf numFmtId="0" fontId="31" fillId="9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14" borderId="0" xfId="0" applyFont="1" applyFill="1" applyAlignment="1">
      <alignment horizontal="left" vertical="center"/>
    </xf>
    <xf numFmtId="0" fontId="21" fillId="17" borderId="0" xfId="0" applyFont="1" applyFill="1" applyAlignment="1">
      <alignment horizontal="left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33" fillId="11" borderId="4" xfId="0" applyFont="1" applyFill="1" applyBorder="1" applyAlignment="1">
      <alignment horizontal="center" vertical="center" wrapText="1"/>
    </xf>
    <xf numFmtId="0" fontId="33" fillId="11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2" fillId="22" borderId="1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19" fillId="7" borderId="0" xfId="0" applyFont="1" applyFill="1" applyAlignment="1">
      <alignment horizontal="center"/>
    </xf>
    <xf numFmtId="9" fontId="42" fillId="22" borderId="1" xfId="0" applyNumberFormat="1" applyFont="1" applyFill="1" applyBorder="1" applyAlignment="1">
      <alignment horizontal="center"/>
    </xf>
    <xf numFmtId="0" fontId="41" fillId="21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42" fillId="22" borderId="0" xfId="0" applyFont="1" applyFill="1" applyBorder="1" applyAlignment="1">
      <alignment horizontal="center"/>
    </xf>
    <xf numFmtId="9" fontId="42" fillId="2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20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15"/>
  <sheetViews>
    <sheetView showGridLines="0" showRowColHeaders="0" tabSelected="1" zoomScale="90" zoomScaleNormal="90" workbookViewId="0">
      <selection activeCell="A6" sqref="A6"/>
    </sheetView>
  </sheetViews>
  <sheetFormatPr defaultColWidth="9.140625" defaultRowHeight="12.75" x14ac:dyDescent="0.2"/>
  <cols>
    <col min="1" max="1" width="30.28515625" style="3" customWidth="1"/>
    <col min="2" max="2" width="16.28515625" style="3" customWidth="1"/>
    <col min="3" max="3" width="20.28515625" style="3" customWidth="1"/>
    <col min="4" max="4" width="33.7109375" style="3" customWidth="1"/>
    <col min="5" max="5" width="11.5703125" style="3" customWidth="1"/>
    <col min="6" max="6" width="12" style="3" hidden="1" customWidth="1"/>
    <col min="7" max="7" width="13.5703125" style="3" customWidth="1"/>
    <col min="8" max="8" width="10.42578125" style="3" customWidth="1"/>
    <col min="9" max="11" width="12" style="3" customWidth="1"/>
    <col min="12" max="12" width="13.140625" style="3" customWidth="1"/>
    <col min="13" max="13" width="9.85546875" style="3" bestFit="1" customWidth="1"/>
    <col min="14" max="14" width="10.7109375" style="3" customWidth="1"/>
    <col min="15" max="15" width="11.5703125" style="3" customWidth="1"/>
    <col min="16" max="16" width="14.42578125" style="3" customWidth="1"/>
    <col min="17" max="17" width="12.28515625" style="3" customWidth="1"/>
    <col min="18" max="18" width="13.7109375" style="3" customWidth="1"/>
    <col min="19" max="19" width="12.5703125" style="3" customWidth="1"/>
    <col min="20" max="20" width="11.42578125" style="3" customWidth="1"/>
    <col min="21" max="21" width="13.28515625" style="3" customWidth="1"/>
    <col min="22" max="22" width="12.42578125" style="3" customWidth="1"/>
    <col min="23" max="23" width="14.7109375" style="3" customWidth="1"/>
    <col min="24" max="24" width="10.7109375" style="3" customWidth="1"/>
    <col min="25" max="25" width="14.42578125" style="3" customWidth="1"/>
    <col min="26" max="26" width="12.7109375" style="3" customWidth="1"/>
    <col min="27" max="27" width="14.85546875" style="3" customWidth="1"/>
    <col min="28" max="28" width="17.28515625" style="3" customWidth="1"/>
    <col min="29" max="31" width="11.85546875" style="3" customWidth="1"/>
    <col min="32" max="32" width="12.42578125" style="3" customWidth="1"/>
    <col min="33" max="33" width="10.7109375" style="3" customWidth="1"/>
    <col min="34" max="34" width="11.42578125" style="3" customWidth="1"/>
    <col min="35" max="36" width="12.42578125" style="3" customWidth="1"/>
    <col min="37" max="37" width="14.85546875" style="3" customWidth="1"/>
    <col min="38" max="16384" width="9.140625" style="3"/>
  </cols>
  <sheetData>
    <row r="1" spans="1:37" ht="54" customHeight="1" x14ac:dyDescent="0.2">
      <c r="A1" s="106" t="s">
        <v>150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</row>
    <row r="2" spans="1:37" ht="69.75" customHeight="1" x14ac:dyDescent="0.2">
      <c r="A2" s="107" t="s">
        <v>122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</row>
    <row r="3" spans="1:37" ht="30" customHeight="1" x14ac:dyDescent="0.2">
      <c r="A3" s="100" t="s">
        <v>55</v>
      </c>
      <c r="B3" s="100" t="s">
        <v>56</v>
      </c>
      <c r="C3" s="100" t="s">
        <v>57</v>
      </c>
      <c r="D3" s="100" t="s">
        <v>58</v>
      </c>
      <c r="E3" s="97" t="s">
        <v>61</v>
      </c>
      <c r="F3" s="97"/>
      <c r="G3" s="97"/>
      <c r="H3" s="97"/>
      <c r="I3" s="97"/>
      <c r="J3" s="97"/>
      <c r="K3" s="97"/>
      <c r="L3" s="97"/>
      <c r="M3" s="114" t="s">
        <v>62</v>
      </c>
      <c r="N3" s="114"/>
      <c r="O3" s="114"/>
      <c r="P3" s="114"/>
      <c r="Q3" s="114"/>
      <c r="R3" s="114"/>
      <c r="S3" s="114"/>
      <c r="T3" s="114"/>
      <c r="U3" s="114"/>
      <c r="V3" s="119" t="s">
        <v>63</v>
      </c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7" s="4" customFormat="1" ht="54.75" customHeight="1" x14ac:dyDescent="0.2">
      <c r="A4" s="101"/>
      <c r="B4" s="101"/>
      <c r="C4" s="101"/>
      <c r="D4" s="101"/>
      <c r="E4" s="102" t="s">
        <v>121</v>
      </c>
      <c r="F4" s="102" t="s">
        <v>59</v>
      </c>
      <c r="G4" s="102" t="s">
        <v>108</v>
      </c>
      <c r="H4" s="102" t="s">
        <v>119</v>
      </c>
      <c r="I4" s="115" t="s">
        <v>69</v>
      </c>
      <c r="J4" s="116"/>
      <c r="K4" s="102" t="s">
        <v>127</v>
      </c>
      <c r="L4" s="102" t="s">
        <v>128</v>
      </c>
      <c r="M4" s="98" t="s">
        <v>134</v>
      </c>
      <c r="N4" s="98" t="s">
        <v>129</v>
      </c>
      <c r="O4" s="111" t="s">
        <v>68</v>
      </c>
      <c r="P4" s="112"/>
      <c r="Q4" s="112"/>
      <c r="R4" s="112"/>
      <c r="S4" s="112"/>
      <c r="T4" s="112"/>
      <c r="U4" s="113"/>
      <c r="V4" s="117" t="s">
        <v>64</v>
      </c>
      <c r="W4" s="117" t="s">
        <v>65</v>
      </c>
      <c r="X4" s="117" t="s">
        <v>10</v>
      </c>
      <c r="Y4" s="117" t="s">
        <v>11</v>
      </c>
      <c r="Z4" s="117" t="s">
        <v>12</v>
      </c>
      <c r="AA4" s="117" t="s">
        <v>13</v>
      </c>
      <c r="AB4" s="117" t="s">
        <v>66</v>
      </c>
      <c r="AC4" s="117" t="s">
        <v>138</v>
      </c>
      <c r="AD4" s="117" t="s">
        <v>16</v>
      </c>
      <c r="AE4" s="117" t="s">
        <v>154</v>
      </c>
      <c r="AF4" s="122" t="s">
        <v>38</v>
      </c>
      <c r="AG4" s="122"/>
      <c r="AH4" s="122"/>
      <c r="AI4" s="117" t="s">
        <v>132</v>
      </c>
      <c r="AJ4" s="123" t="s">
        <v>155</v>
      </c>
      <c r="AK4" s="120" t="s">
        <v>32</v>
      </c>
    </row>
    <row r="5" spans="1:37" s="4" customFormat="1" ht="56.25" customHeight="1" thickBot="1" x14ac:dyDescent="0.25">
      <c r="A5" s="101"/>
      <c r="B5" s="101"/>
      <c r="C5" s="101"/>
      <c r="D5" s="101"/>
      <c r="E5" s="103"/>
      <c r="F5" s="103"/>
      <c r="G5" s="103"/>
      <c r="H5" s="103"/>
      <c r="I5" s="68" t="s">
        <v>70</v>
      </c>
      <c r="J5" s="68" t="s">
        <v>71</v>
      </c>
      <c r="K5" s="103"/>
      <c r="L5" s="103"/>
      <c r="M5" s="99"/>
      <c r="N5" s="99"/>
      <c r="O5" s="67" t="s">
        <v>72</v>
      </c>
      <c r="P5" s="67" t="s">
        <v>73</v>
      </c>
      <c r="Q5" s="67" t="s">
        <v>78</v>
      </c>
      <c r="R5" s="67" t="s">
        <v>74</v>
      </c>
      <c r="S5" s="67" t="s">
        <v>75</v>
      </c>
      <c r="T5" s="67" t="s">
        <v>76</v>
      </c>
      <c r="U5" s="67" t="s">
        <v>77</v>
      </c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71" t="s">
        <v>135</v>
      </c>
      <c r="AG5" s="69" t="s">
        <v>136</v>
      </c>
      <c r="AH5" s="69" t="s">
        <v>137</v>
      </c>
      <c r="AI5" s="118"/>
      <c r="AJ5" s="124"/>
      <c r="AK5" s="121"/>
    </row>
    <row r="6" spans="1:37" s="6" customFormat="1" ht="73.5" customHeight="1" thickBot="1" x14ac:dyDescent="0.25">
      <c r="A6" s="72"/>
      <c r="B6" s="73"/>
      <c r="C6" s="73"/>
      <c r="D6" s="74"/>
      <c r="E6" s="75">
        <v>0</v>
      </c>
      <c r="F6" s="75" t="e">
        <f>E6+#REF!</f>
        <v>#REF!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0</v>
      </c>
      <c r="T6" s="75">
        <v>0</v>
      </c>
      <c r="U6" s="75">
        <v>0</v>
      </c>
      <c r="V6" s="75">
        <v>0</v>
      </c>
      <c r="W6" s="75">
        <v>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7">
        <v>0</v>
      </c>
      <c r="AD6" s="78">
        <v>0</v>
      </c>
      <c r="AE6" s="75">
        <v>0</v>
      </c>
      <c r="AF6" s="75">
        <v>0</v>
      </c>
      <c r="AG6" s="75">
        <v>0</v>
      </c>
      <c r="AH6" s="75">
        <v>0</v>
      </c>
      <c r="AI6" s="75">
        <v>0</v>
      </c>
      <c r="AJ6" s="77">
        <v>0</v>
      </c>
      <c r="AK6" s="76">
        <v>0</v>
      </c>
    </row>
    <row r="10" spans="1:37" ht="26.25" x14ac:dyDescent="0.2">
      <c r="A10" s="105" t="s">
        <v>139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</row>
    <row r="11" spans="1:37" ht="3.7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61"/>
      <c r="O11" s="27"/>
      <c r="P11" s="27"/>
      <c r="Q11" s="27"/>
      <c r="R11" s="27"/>
      <c r="S11" s="27"/>
      <c r="T11" s="27"/>
    </row>
    <row r="12" spans="1:37" ht="26.25" x14ac:dyDescent="0.2">
      <c r="A12" s="109" t="s">
        <v>125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27"/>
    </row>
    <row r="13" spans="1:37" ht="56.25" customHeight="1" x14ac:dyDescent="0.2">
      <c r="A13" s="110" t="s">
        <v>124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27"/>
    </row>
    <row r="14" spans="1:37" ht="41.25" customHeight="1" x14ac:dyDescent="0.2">
      <c r="A14" s="104" t="s">
        <v>133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spans="1:37" ht="40.5" customHeight="1" x14ac:dyDescent="0.2"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</sheetData>
  <sheetProtection algorithmName="SHA-512" hashValue="M7nNBYP+vc3m318UBGRVKng9j/dsCdpScu+Rwh/8VWkPChHsahEKqzHOdqqwn0Jb35+bGepxVlWe0VEBEPNoAw==" saltValue="YzjLDfhX9dfb8dXcuzVF8g==" spinCount="100000" sheet="1" formatCells="0" formatColumns="0" formatRows="0" insertColumns="0" insertRows="0" insertHyperlinks="0" deleteColumns="0" deleteRows="0" sort="0" autoFilter="0" pivotTables="0"/>
  <protectedRanges>
    <protectedRange sqref="A6:AK6" name="Range1"/>
  </protectedRanges>
  <customSheetViews>
    <customSheetView guid="{E6A9D0A8-5CFD-4D21-BBB4-51B5F05875BD}" scale="90" showGridLines="0" hiddenColumns="1">
      <selection activeCell="AD7" sqref="AD7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mergeCells count="38">
    <mergeCell ref="AK4:AK5"/>
    <mergeCell ref="V4:V5"/>
    <mergeCell ref="AA4:AA5"/>
    <mergeCell ref="AD4:AD5"/>
    <mergeCell ref="AB4:AB5"/>
    <mergeCell ref="Z4:Z5"/>
    <mergeCell ref="Y4:Y5"/>
    <mergeCell ref="W4:W5"/>
    <mergeCell ref="X4:X5"/>
    <mergeCell ref="AE4:AE5"/>
    <mergeCell ref="AI4:AI5"/>
    <mergeCell ref="AF4:AH4"/>
    <mergeCell ref="AJ4:AJ5"/>
    <mergeCell ref="A1:AK1"/>
    <mergeCell ref="A2:AK2"/>
    <mergeCell ref="A12:S12"/>
    <mergeCell ref="A13:S13"/>
    <mergeCell ref="O4:U4"/>
    <mergeCell ref="G4:G5"/>
    <mergeCell ref="N4:N5"/>
    <mergeCell ref="C3:C5"/>
    <mergeCell ref="H4:H5"/>
    <mergeCell ref="M3:U3"/>
    <mergeCell ref="I4:J4"/>
    <mergeCell ref="L4:L5"/>
    <mergeCell ref="D3:D5"/>
    <mergeCell ref="A3:A5"/>
    <mergeCell ref="AC4:AC5"/>
    <mergeCell ref="V3:AK3"/>
    <mergeCell ref="C15:P15"/>
    <mergeCell ref="E3:L3"/>
    <mergeCell ref="M4:M5"/>
    <mergeCell ref="B3:B5"/>
    <mergeCell ref="E4:E5"/>
    <mergeCell ref="F4:F5"/>
    <mergeCell ref="A14:T14"/>
    <mergeCell ref="K4:K5"/>
    <mergeCell ref="A10:T10"/>
  </mergeCells>
  <phoneticPr fontId="0" type="noConversion"/>
  <pageMargins left="0.75" right="0.75" top="1" bottom="1" header="0.5" footer="0.5"/>
  <pageSetup paperSize="9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O79"/>
  <sheetViews>
    <sheetView showGridLines="0" showRowColHeaders="0" view="pageBreakPreview" zoomScale="148" zoomScaleNormal="100" zoomScaleSheetLayoutView="148" workbookViewId="0">
      <selection activeCell="D13" sqref="D13"/>
    </sheetView>
  </sheetViews>
  <sheetFormatPr defaultRowHeight="12.75" x14ac:dyDescent="0.2"/>
  <cols>
    <col min="1" max="1" width="6.42578125" customWidth="1"/>
    <col min="2" max="2" width="8" customWidth="1"/>
    <col min="3" max="3" width="6.28515625" customWidth="1"/>
    <col min="4" max="4" width="9.28515625" customWidth="1"/>
    <col min="5" max="5" width="7.5703125" customWidth="1"/>
    <col min="6" max="6" width="8.28515625" customWidth="1"/>
    <col min="7" max="7" width="11.42578125" customWidth="1"/>
    <col min="8" max="8" width="8.7109375" customWidth="1"/>
    <col min="9" max="9" width="6.5703125" customWidth="1"/>
    <col min="10" max="10" width="6.7109375" customWidth="1"/>
    <col min="11" max="11" width="7.28515625" customWidth="1"/>
    <col min="12" max="12" width="5.28515625" customWidth="1"/>
    <col min="13" max="13" width="6.85546875" customWidth="1"/>
    <col min="14" max="14" width="6" hidden="1" customWidth="1"/>
    <col min="15" max="15" width="5.28515625" hidden="1" customWidth="1"/>
    <col min="16" max="16" width="4.85546875" customWidth="1"/>
    <col min="17" max="17" width="7.140625" customWidth="1"/>
    <col min="18" max="18" width="6.28515625" customWidth="1"/>
    <col min="19" max="19" width="5.140625" customWidth="1"/>
    <col min="20" max="20" width="8" customWidth="1"/>
  </cols>
  <sheetData>
    <row r="2" spans="1:13" ht="16.5" x14ac:dyDescent="0.25">
      <c r="A2" s="144" t="s">
        <v>176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3" ht="16.5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17.25" customHeight="1" x14ac:dyDescent="0.25">
      <c r="A4" s="145" t="s">
        <v>178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ht="15" x14ac:dyDescent="0.25">
      <c r="B5" s="147" t="s">
        <v>156</v>
      </c>
      <c r="C5" s="147"/>
      <c r="D5" s="147"/>
      <c r="E5" s="147"/>
      <c r="F5" s="147"/>
      <c r="G5" s="83"/>
      <c r="H5" s="147" t="s">
        <v>157</v>
      </c>
      <c r="I5" s="147"/>
      <c r="J5" s="147"/>
      <c r="K5" s="147"/>
      <c r="L5" s="147"/>
      <c r="M5" s="147"/>
    </row>
    <row r="6" spans="1:13" ht="15" x14ac:dyDescent="0.25">
      <c r="A6" s="5"/>
      <c r="B6" s="140" t="s">
        <v>158</v>
      </c>
      <c r="C6" s="140"/>
      <c r="D6" s="140"/>
      <c r="E6" s="140"/>
      <c r="F6" s="140"/>
      <c r="G6" s="83"/>
      <c r="H6" s="146">
        <v>0</v>
      </c>
      <c r="I6" s="146"/>
      <c r="J6" s="146"/>
      <c r="K6" s="146"/>
      <c r="L6" s="146"/>
      <c r="M6" s="146"/>
    </row>
    <row r="7" spans="1:13" ht="12.75" customHeight="1" x14ac:dyDescent="0.25">
      <c r="A7" s="5"/>
      <c r="B7" s="140" t="s">
        <v>159</v>
      </c>
      <c r="C7" s="140"/>
      <c r="D7" s="140"/>
      <c r="E7" s="140"/>
      <c r="F7" s="140"/>
      <c r="G7" s="83"/>
      <c r="H7" s="146">
        <v>0.05</v>
      </c>
      <c r="I7" s="146"/>
      <c r="J7" s="146"/>
      <c r="K7" s="146"/>
      <c r="L7" s="146"/>
      <c r="M7" s="146"/>
    </row>
    <row r="8" spans="1:13" ht="12.75" customHeight="1" x14ac:dyDescent="0.25">
      <c r="A8" s="5"/>
      <c r="B8" s="140" t="s">
        <v>160</v>
      </c>
      <c r="C8" s="140"/>
      <c r="D8" s="140"/>
      <c r="E8" s="140"/>
      <c r="F8" s="140"/>
      <c r="G8" s="83"/>
      <c r="H8" s="146">
        <v>0.1</v>
      </c>
      <c r="I8" s="146"/>
      <c r="J8" s="146"/>
      <c r="K8" s="146"/>
      <c r="L8" s="146"/>
      <c r="M8" s="146"/>
    </row>
    <row r="9" spans="1:13" ht="12.75" customHeight="1" x14ac:dyDescent="0.25">
      <c r="A9" s="5"/>
      <c r="B9" s="140" t="s">
        <v>161</v>
      </c>
      <c r="C9" s="140"/>
      <c r="D9" s="140"/>
      <c r="E9" s="140"/>
      <c r="F9" s="140"/>
      <c r="G9" s="83"/>
      <c r="H9" s="146">
        <v>0.15</v>
      </c>
      <c r="I9" s="146"/>
      <c r="J9" s="146"/>
      <c r="K9" s="146"/>
      <c r="L9" s="146"/>
      <c r="M9" s="146"/>
    </row>
    <row r="10" spans="1:13" ht="12.75" customHeight="1" x14ac:dyDescent="0.25">
      <c r="A10" s="5"/>
      <c r="B10" s="140" t="s">
        <v>162</v>
      </c>
      <c r="C10" s="140"/>
      <c r="D10" s="140"/>
      <c r="E10" s="140"/>
      <c r="F10" s="140"/>
      <c r="G10" s="83"/>
      <c r="H10" s="146">
        <v>0.2</v>
      </c>
      <c r="I10" s="146"/>
      <c r="J10" s="146"/>
      <c r="K10" s="146"/>
      <c r="L10" s="146"/>
      <c r="M10" s="146"/>
    </row>
    <row r="11" spans="1:13" ht="12.75" customHeight="1" x14ac:dyDescent="0.25">
      <c r="B11" s="140" t="s">
        <v>163</v>
      </c>
      <c r="C11" s="140"/>
      <c r="D11" s="140"/>
      <c r="E11" s="140"/>
      <c r="F11" s="140"/>
      <c r="G11" s="83"/>
      <c r="H11" s="146">
        <v>0.25</v>
      </c>
      <c r="I11" s="146"/>
      <c r="J11" s="146"/>
      <c r="K11" s="146"/>
      <c r="L11" s="146"/>
      <c r="M11" s="146"/>
    </row>
    <row r="12" spans="1:13" ht="15" x14ac:dyDescent="0.25">
      <c r="B12" s="140" t="s">
        <v>164</v>
      </c>
      <c r="C12" s="140"/>
      <c r="D12" s="140"/>
      <c r="E12" s="140"/>
      <c r="F12" s="140"/>
      <c r="G12" s="83"/>
      <c r="H12" s="146">
        <v>0.3</v>
      </c>
      <c r="I12" s="146"/>
      <c r="J12" s="146"/>
      <c r="K12" s="146"/>
      <c r="L12" s="146"/>
      <c r="M12" s="146"/>
    </row>
    <row r="13" spans="1:13" x14ac:dyDescent="0.2">
      <c r="A13" t="s">
        <v>31</v>
      </c>
      <c r="D13" s="35">
        <f>'Main data'!A6</f>
        <v>0</v>
      </c>
      <c r="E13" s="11"/>
      <c r="F13" s="11"/>
      <c r="G13" s="11"/>
      <c r="H13" s="16" t="s">
        <v>142</v>
      </c>
      <c r="I13" s="149">
        <f>'Main data'!C6</f>
        <v>0</v>
      </c>
      <c r="J13" s="149"/>
      <c r="K13" s="149"/>
    </row>
    <row r="14" spans="1:13" x14ac:dyDescent="0.2">
      <c r="A14" t="s">
        <v>0</v>
      </c>
      <c r="D14" s="11">
        <f>'Main data'!B6</f>
        <v>0</v>
      </c>
      <c r="E14" s="11"/>
      <c r="F14" s="11"/>
      <c r="G14" s="11"/>
      <c r="H14" s="11"/>
      <c r="I14" s="63"/>
      <c r="J14" s="11"/>
      <c r="K14" s="11"/>
      <c r="L14" s="11"/>
    </row>
    <row r="15" spans="1:13" x14ac:dyDescent="0.2">
      <c r="A15" t="s">
        <v>1</v>
      </c>
      <c r="D15" s="11">
        <f>'Main data'!D6</f>
        <v>0</v>
      </c>
      <c r="E15" s="11"/>
      <c r="F15" s="11"/>
      <c r="G15" s="11"/>
    </row>
    <row r="16" spans="1:13" ht="28.5" customHeight="1" x14ac:dyDescent="0.2">
      <c r="A16" s="3">
        <v>1</v>
      </c>
      <c r="B16" s="141" t="s">
        <v>94</v>
      </c>
      <c r="C16" s="141"/>
      <c r="D16" s="141"/>
      <c r="E16" s="141"/>
      <c r="F16" s="141"/>
      <c r="G16" s="9">
        <f>B72+C72+E72</f>
        <v>0</v>
      </c>
    </row>
    <row r="17" spans="1:15" x14ac:dyDescent="0.2">
      <c r="A17" s="3">
        <v>2</v>
      </c>
      <c r="B17" s="142" t="s">
        <v>95</v>
      </c>
      <c r="C17" s="142"/>
      <c r="D17" s="142"/>
      <c r="E17" s="142"/>
      <c r="F17" s="142"/>
      <c r="G17" s="9">
        <f>D72</f>
        <v>0</v>
      </c>
    </row>
    <row r="18" spans="1:15" x14ac:dyDescent="0.2">
      <c r="A18" s="3">
        <v>3</v>
      </c>
      <c r="B18" s="143" t="s">
        <v>140</v>
      </c>
      <c r="C18" s="142"/>
      <c r="D18" s="142"/>
      <c r="E18" s="142"/>
      <c r="F18" s="142"/>
      <c r="G18" s="9">
        <f>F72</f>
        <v>0</v>
      </c>
    </row>
    <row r="19" spans="1:15" x14ac:dyDescent="0.2">
      <c r="A19" s="139" t="s">
        <v>4</v>
      </c>
      <c r="B19" s="139"/>
      <c r="C19" s="139"/>
      <c r="D19" s="139"/>
      <c r="E19" s="139"/>
      <c r="F19" s="139"/>
      <c r="G19" s="17">
        <f>SUM(G16:G18)</f>
        <v>0</v>
      </c>
    </row>
    <row r="20" spans="1:15" x14ac:dyDescent="0.2">
      <c r="A20" s="130">
        <v>4</v>
      </c>
      <c r="B20" s="131" t="s">
        <v>5</v>
      </c>
      <c r="C20" s="131"/>
      <c r="D20" s="131"/>
      <c r="E20" s="131"/>
      <c r="F20" s="131"/>
      <c r="G20" s="132">
        <f>'Main data'!L6+'Main data'!K6</f>
        <v>0</v>
      </c>
    </row>
    <row r="21" spans="1:15" x14ac:dyDescent="0.2">
      <c r="A21" s="130"/>
      <c r="B21" s="135" t="s">
        <v>67</v>
      </c>
      <c r="C21" s="134"/>
      <c r="D21" s="134"/>
      <c r="E21" s="134"/>
      <c r="F21" s="134"/>
      <c r="G21" s="133"/>
    </row>
    <row r="22" spans="1:15" x14ac:dyDescent="0.2">
      <c r="A22" s="139" t="s">
        <v>6</v>
      </c>
      <c r="B22" s="139"/>
      <c r="C22" s="139"/>
      <c r="D22" s="139"/>
      <c r="E22" s="139"/>
      <c r="F22" s="139"/>
      <c r="G22" s="9">
        <f>G19+G20</f>
        <v>0</v>
      </c>
    </row>
    <row r="23" spans="1:15" s="7" customFormat="1" x14ac:dyDescent="0.2">
      <c r="A23" s="3">
        <v>5</v>
      </c>
      <c r="B23" s="137" t="s">
        <v>175</v>
      </c>
      <c r="C23" s="137"/>
      <c r="D23" s="137"/>
      <c r="E23" s="137"/>
      <c r="F23" s="137"/>
      <c r="G23" s="10">
        <f>IF(G22&lt;=1200000, MIN(75000, G22), 0)</f>
        <v>0</v>
      </c>
    </row>
    <row r="24" spans="1:15" x14ac:dyDescent="0.2">
      <c r="A24" s="3">
        <v>6</v>
      </c>
      <c r="B24" s="152" t="s">
        <v>115</v>
      </c>
      <c r="C24" s="152"/>
      <c r="D24" s="152"/>
      <c r="E24" s="152"/>
      <c r="F24" s="152"/>
      <c r="G24" s="90">
        <f>G22-G23</f>
        <v>0</v>
      </c>
    </row>
    <row r="25" spans="1:15" ht="12.75" customHeight="1" x14ac:dyDescent="0.25">
      <c r="A25" s="138"/>
      <c r="B25" s="150" t="s">
        <v>165</v>
      </c>
      <c r="C25" s="150"/>
      <c r="D25" s="150"/>
      <c r="E25" s="150"/>
      <c r="F25" s="150"/>
      <c r="G25" s="91">
        <f>IF(G24&gt;400000,N25,O25)</f>
        <v>0</v>
      </c>
      <c r="H25" s="83"/>
      <c r="I25" s="83"/>
      <c r="J25" s="85"/>
      <c r="K25" s="85"/>
      <c r="N25" s="84">
        <f>IF(AND(G24&gt;1200000,G24&lt;=1270588),0,IF(G24&gt;800000,(800000-400000)*5/100,(G24-400000)*5/100))</f>
        <v>-20000</v>
      </c>
      <c r="O25" s="84">
        <v>0</v>
      </c>
    </row>
    <row r="26" spans="1:15" ht="12.75" customHeight="1" x14ac:dyDescent="0.25">
      <c r="A26" s="138"/>
      <c r="B26" s="150" t="s">
        <v>166</v>
      </c>
      <c r="C26" s="150"/>
      <c r="D26" s="150"/>
      <c r="E26" s="150"/>
      <c r="F26" s="150"/>
      <c r="G26" s="91">
        <f>IF(G24&gt;800000,N26,O26)</f>
        <v>0</v>
      </c>
      <c r="H26" s="83"/>
      <c r="I26" s="83"/>
      <c r="J26" s="85"/>
      <c r="K26" s="85"/>
      <c r="N26" s="84">
        <f>IF(AND(G24&gt;1200000,G24&lt;=1270588),0,IF(G24&gt;1200000,(1200000-800000)*10/100,(G24-800000)*10/100))</f>
        <v>-80000</v>
      </c>
      <c r="O26" s="84">
        <v>0</v>
      </c>
    </row>
    <row r="27" spans="1:15" ht="12.75" customHeight="1" x14ac:dyDescent="0.25">
      <c r="A27" s="138"/>
      <c r="B27" s="150" t="s">
        <v>167</v>
      </c>
      <c r="C27" s="150"/>
      <c r="D27" s="150"/>
      <c r="E27" s="150"/>
      <c r="F27" s="150"/>
      <c r="G27" s="91">
        <f>IF(G24&gt;1200000,N27,O27)</f>
        <v>0</v>
      </c>
      <c r="H27" s="83"/>
      <c r="I27" s="83"/>
      <c r="J27" s="85"/>
      <c r="K27" s="85"/>
      <c r="N27" s="84">
        <f>IF(AND(G24&gt;1200000,G24&lt;=1270588),G24-1200000,IF(G24&gt;1600000,(1600000-1200000)*15/100,(G24-1200000)*15/100))</f>
        <v>-180000</v>
      </c>
      <c r="O27" s="84">
        <v>0</v>
      </c>
    </row>
    <row r="28" spans="1:15" ht="12.75" customHeight="1" x14ac:dyDescent="0.25">
      <c r="A28" s="138"/>
      <c r="B28" s="150" t="s">
        <v>168</v>
      </c>
      <c r="C28" s="150"/>
      <c r="D28" s="150"/>
      <c r="E28" s="150"/>
      <c r="F28" s="150"/>
      <c r="G28" s="91">
        <f>IF(G24&gt;1600000,N28,O28)</f>
        <v>0</v>
      </c>
      <c r="H28" s="83"/>
      <c r="I28" s="83"/>
      <c r="J28" s="85"/>
      <c r="K28" s="85"/>
      <c r="N28" s="84">
        <f>IF(G24&gt;2000000,(2000000-1600000)*20/100,(G24-1600000)*20/100)</f>
        <v>-320000</v>
      </c>
      <c r="O28" s="84">
        <v>0</v>
      </c>
    </row>
    <row r="29" spans="1:15" ht="12.75" customHeight="1" x14ac:dyDescent="0.25">
      <c r="A29" s="138"/>
      <c r="B29" s="150" t="s">
        <v>169</v>
      </c>
      <c r="C29" s="150"/>
      <c r="D29" s="150"/>
      <c r="E29" s="150"/>
      <c r="F29" s="150"/>
      <c r="G29" s="91">
        <f>IF(G24&gt;2000000,N29,O29)</f>
        <v>0</v>
      </c>
      <c r="H29" s="83"/>
      <c r="I29" s="83"/>
      <c r="J29" s="85"/>
      <c r="K29" s="85"/>
      <c r="N29" s="84">
        <f>IF(G24&gt;2400000,(2400000-2000000)*25/100,(G24-2000000)*25/100)</f>
        <v>-500000</v>
      </c>
      <c r="O29" s="84">
        <v>0</v>
      </c>
    </row>
    <row r="30" spans="1:15" ht="12.75" customHeight="1" x14ac:dyDescent="0.25">
      <c r="A30" s="138"/>
      <c r="B30" s="150" t="s">
        <v>170</v>
      </c>
      <c r="C30" s="150"/>
      <c r="D30" s="150"/>
      <c r="E30" s="150"/>
      <c r="F30" s="150"/>
      <c r="G30" s="91">
        <f>IF(G24&gt;2400000,N30,O30)</f>
        <v>0</v>
      </c>
      <c r="H30" s="83"/>
      <c r="I30" s="83"/>
      <c r="J30" s="85"/>
      <c r="K30" s="85"/>
      <c r="N30" s="84">
        <f>(G24-2400000)*30/100</f>
        <v>-720000</v>
      </c>
      <c r="O30" s="84">
        <v>0</v>
      </c>
    </row>
    <row r="31" spans="1:15" ht="12.75" customHeight="1" x14ac:dyDescent="0.25">
      <c r="A31" s="138"/>
      <c r="B31" s="150" t="s">
        <v>171</v>
      </c>
      <c r="C31" s="150"/>
      <c r="D31" s="150"/>
      <c r="E31" s="150"/>
      <c r="F31" s="150"/>
      <c r="G31" s="92">
        <f>IF(G24&lt;=1200000,SUM(G25:G30),0)</f>
        <v>0</v>
      </c>
      <c r="H31" s="83"/>
      <c r="I31" s="83"/>
      <c r="J31" s="85"/>
      <c r="K31" s="85"/>
      <c r="N31" s="84"/>
      <c r="O31" s="84"/>
    </row>
    <row r="32" spans="1:15" ht="12.75" customHeight="1" x14ac:dyDescent="0.25">
      <c r="A32" s="138"/>
      <c r="B32" s="150" t="s">
        <v>172</v>
      </c>
      <c r="C32" s="150"/>
      <c r="D32" s="150"/>
      <c r="E32" s="150"/>
      <c r="F32" s="150"/>
      <c r="G32" s="91">
        <f>IF(G24&gt;5000000,N32,J32)</f>
        <v>0</v>
      </c>
      <c r="H32" s="83"/>
      <c r="I32" s="83"/>
      <c r="J32" s="85"/>
      <c r="K32" s="85"/>
      <c r="N32" s="84">
        <f>IF(G24&gt;10000000,(10000000-5000000)*10/100,(G24-5000000)*10/100)</f>
        <v>-500000</v>
      </c>
      <c r="O32" s="84">
        <v>0</v>
      </c>
    </row>
    <row r="33" spans="1:15" ht="12.75" customHeight="1" x14ac:dyDescent="0.25">
      <c r="A33" s="138"/>
      <c r="B33" s="151" t="s">
        <v>173</v>
      </c>
      <c r="C33" s="151"/>
      <c r="D33" s="151"/>
      <c r="E33" s="151"/>
      <c r="F33" s="151"/>
      <c r="G33" s="91">
        <f>IF(G24&gt;10000000,N33,J33)</f>
        <v>0</v>
      </c>
      <c r="H33" s="83"/>
      <c r="I33" s="83"/>
      <c r="J33" s="85"/>
      <c r="K33" s="85"/>
      <c r="N33" s="84">
        <f>(G24-10000000)*15/100</f>
        <v>-1500000</v>
      </c>
      <c r="O33" s="84">
        <v>0</v>
      </c>
    </row>
    <row r="34" spans="1:15" ht="12.75" customHeight="1" x14ac:dyDescent="0.25">
      <c r="A34" s="138"/>
      <c r="B34" s="150" t="s">
        <v>174</v>
      </c>
      <c r="C34" s="150"/>
      <c r="D34" s="150"/>
      <c r="E34" s="150"/>
      <c r="F34" s="150"/>
      <c r="G34" s="91">
        <f>(SUM(G25,G26,G27,G28,G29,G30,G32,G33)-G31)*4/100</f>
        <v>0</v>
      </c>
      <c r="H34" s="85"/>
      <c r="I34" s="85"/>
      <c r="J34" s="85"/>
      <c r="K34" s="85"/>
    </row>
    <row r="35" spans="1:15" ht="12.75" customHeight="1" x14ac:dyDescent="0.25">
      <c r="A35" s="126">
        <v>7</v>
      </c>
      <c r="B35" s="126" t="s">
        <v>85</v>
      </c>
      <c r="C35" s="126"/>
      <c r="D35" s="126"/>
      <c r="E35" s="126"/>
      <c r="F35" s="126"/>
      <c r="G35" s="93">
        <f>SUM(G25,G26,G27,G28,G29,G30,G32,G33,G34)-G31</f>
        <v>0</v>
      </c>
      <c r="H35" s="86"/>
      <c r="I35" s="85"/>
      <c r="J35" s="87"/>
      <c r="K35" s="87"/>
      <c r="L35" s="4"/>
      <c r="M35" s="4"/>
    </row>
    <row r="36" spans="1:15" ht="15" x14ac:dyDescent="0.25">
      <c r="A36" s="126"/>
      <c r="B36" s="126" t="s">
        <v>144</v>
      </c>
      <c r="C36" s="126"/>
      <c r="D36" s="126"/>
      <c r="E36" s="126"/>
      <c r="F36" s="126"/>
      <c r="G36" s="94">
        <f>MROUND(G35, 10)</f>
        <v>0</v>
      </c>
      <c r="H36" s="86"/>
      <c r="I36" s="85"/>
      <c r="J36" s="87"/>
      <c r="K36" s="87"/>
      <c r="L36" s="4"/>
      <c r="M36" s="4"/>
    </row>
    <row r="37" spans="1:15" x14ac:dyDescent="0.2">
      <c r="A37" s="88">
        <v>8</v>
      </c>
      <c r="B37" s="126" t="s">
        <v>33</v>
      </c>
      <c r="C37" s="126"/>
      <c r="D37" s="126"/>
      <c r="E37" s="126"/>
      <c r="F37" s="83"/>
      <c r="G37" s="95">
        <f>SUM('New Regime'!O6:U6)</f>
        <v>0</v>
      </c>
    </row>
    <row r="38" spans="1:15" ht="12.75" customHeight="1" x14ac:dyDescent="0.2">
      <c r="A38" s="88">
        <v>9</v>
      </c>
      <c r="B38" s="125" t="s">
        <v>146</v>
      </c>
      <c r="C38" s="126"/>
      <c r="D38" s="126"/>
      <c r="E38" s="126"/>
      <c r="F38" s="126"/>
      <c r="G38" s="89">
        <f>G36-G37</f>
        <v>0</v>
      </c>
    </row>
    <row r="39" spans="1:15" ht="12.75" customHeight="1" x14ac:dyDescent="0.2">
      <c r="A39" s="3"/>
      <c r="B39" s="4"/>
      <c r="C39" s="4"/>
      <c r="D39" s="4"/>
      <c r="E39" s="4"/>
      <c r="G39" s="64"/>
    </row>
    <row r="40" spans="1:15" ht="12.75" customHeight="1" x14ac:dyDescent="0.2">
      <c r="A40" s="5"/>
      <c r="B40" s="5"/>
      <c r="C40" s="5"/>
      <c r="D40" s="5"/>
      <c r="E40" s="5"/>
      <c r="F40" s="4"/>
    </row>
    <row r="41" spans="1:15" x14ac:dyDescent="0.2">
      <c r="A41" s="21" t="s">
        <v>109</v>
      </c>
      <c r="B41" s="66" t="s">
        <v>145</v>
      </c>
      <c r="C41" s="22"/>
      <c r="D41" s="22"/>
      <c r="E41" s="22"/>
      <c r="F41" s="22"/>
      <c r="G41" s="22"/>
      <c r="H41" s="21" t="s">
        <v>111</v>
      </c>
      <c r="I41" s="22"/>
      <c r="J41" s="22"/>
      <c r="K41" s="22"/>
      <c r="L41" s="22"/>
      <c r="M41" s="22"/>
    </row>
    <row r="42" spans="1:15" x14ac:dyDescent="0.2">
      <c r="A42" s="21"/>
      <c r="B42" s="22"/>
      <c r="C42" s="22"/>
      <c r="D42" s="22"/>
      <c r="E42" s="22"/>
      <c r="F42" s="22"/>
      <c r="G42" s="22"/>
      <c r="H42" s="21"/>
      <c r="I42" s="22"/>
      <c r="J42" s="22"/>
      <c r="K42" s="22"/>
      <c r="L42" s="22"/>
      <c r="M42" s="22"/>
    </row>
    <row r="43" spans="1:15" x14ac:dyDescent="0.2">
      <c r="A43" s="5"/>
      <c r="B43" s="5"/>
      <c r="C43" s="5"/>
      <c r="D43" s="5"/>
      <c r="E43" s="5"/>
      <c r="F43" s="4"/>
    </row>
    <row r="44" spans="1:15" x14ac:dyDescent="0.2">
      <c r="A44" t="s">
        <v>47</v>
      </c>
      <c r="B44" s="79"/>
      <c r="C44" s="11"/>
      <c r="H44" t="s">
        <v>48</v>
      </c>
      <c r="J44" s="11"/>
      <c r="K44" s="11"/>
      <c r="L44" s="11"/>
      <c r="M44" s="11"/>
    </row>
    <row r="47" spans="1:15" x14ac:dyDescent="0.2">
      <c r="H47" t="s">
        <v>0</v>
      </c>
      <c r="J47" s="153">
        <f>'Main data'!B6</f>
        <v>0</v>
      </c>
      <c r="K47" s="153"/>
      <c r="L47" s="153"/>
      <c r="M47" s="153"/>
    </row>
    <row r="48" spans="1:15" x14ac:dyDescent="0.2">
      <c r="A48" s="131"/>
      <c r="B48" s="131"/>
      <c r="C48" s="131"/>
    </row>
    <row r="49" spans="1:13" x14ac:dyDescent="0.2">
      <c r="A49" s="134"/>
      <c r="B49" s="134"/>
      <c r="C49" s="134"/>
    </row>
    <row r="50" spans="1:13" x14ac:dyDescent="0.2">
      <c r="A50" s="5"/>
      <c r="B50" s="5"/>
      <c r="C50" s="5"/>
    </row>
    <row r="51" spans="1:13" x14ac:dyDescent="0.2">
      <c r="A51" s="5"/>
      <c r="B51" s="5"/>
      <c r="C51" s="5"/>
    </row>
    <row r="52" spans="1:13" x14ac:dyDescent="0.2">
      <c r="A52" s="5"/>
      <c r="B52" s="5"/>
      <c r="C52" s="5"/>
    </row>
    <row r="53" spans="1:13" x14ac:dyDescent="0.2">
      <c r="A53" s="5"/>
      <c r="B53" s="5"/>
      <c r="C53" s="5"/>
    </row>
    <row r="54" spans="1:13" x14ac:dyDescent="0.2">
      <c r="A54" s="5"/>
      <c r="B54" s="5"/>
      <c r="C54" s="5"/>
    </row>
    <row r="55" spans="1:13" x14ac:dyDescent="0.2">
      <c r="A55" s="5"/>
      <c r="B55" s="5"/>
      <c r="C55" s="5"/>
    </row>
    <row r="56" spans="1:13" ht="18" x14ac:dyDescent="0.2">
      <c r="A56" s="136" t="s">
        <v>149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</row>
    <row r="58" spans="1:13" x14ac:dyDescent="0.2">
      <c r="A58" s="127" t="s">
        <v>18</v>
      </c>
      <c r="B58" s="128"/>
      <c r="C58" s="128"/>
      <c r="D58" s="128"/>
      <c r="E58" s="128"/>
      <c r="F58" s="128"/>
      <c r="G58" s="129"/>
      <c r="H58" s="127" t="s">
        <v>19</v>
      </c>
      <c r="I58" s="128"/>
      <c r="J58" s="128"/>
      <c r="K58" s="128"/>
      <c r="L58" s="128"/>
      <c r="M58" s="129"/>
    </row>
    <row r="59" spans="1:13" ht="38.25" x14ac:dyDescent="0.2">
      <c r="A59" s="1" t="s">
        <v>20</v>
      </c>
      <c r="B59" s="1" t="s">
        <v>92</v>
      </c>
      <c r="C59" s="1" t="s">
        <v>21</v>
      </c>
      <c r="D59" s="1" t="s">
        <v>89</v>
      </c>
      <c r="E59" s="1" t="s">
        <v>90</v>
      </c>
      <c r="F59" s="18" t="s">
        <v>25</v>
      </c>
      <c r="G59" s="1" t="s">
        <v>17</v>
      </c>
      <c r="H59" s="1" t="s">
        <v>91</v>
      </c>
      <c r="I59" s="1" t="s">
        <v>60</v>
      </c>
      <c r="J59" s="25" t="s">
        <v>22</v>
      </c>
      <c r="K59" s="1" t="s">
        <v>23</v>
      </c>
      <c r="L59" s="1" t="s">
        <v>24</v>
      </c>
      <c r="M59" s="1" t="s">
        <v>80</v>
      </c>
    </row>
    <row r="60" spans="1:13" ht="18.75" customHeight="1" x14ac:dyDescent="0.2">
      <c r="A60" s="15" t="s">
        <v>26</v>
      </c>
      <c r="B60" s="38">
        <f>'Main data'!E6</f>
        <v>0</v>
      </c>
      <c r="C60" s="15">
        <f>ROUND(B60*10%,0)</f>
        <v>0</v>
      </c>
      <c r="D60" s="36">
        <f>ROUND(B60*12%,0)</f>
        <v>0</v>
      </c>
      <c r="E60" s="37">
        <f>'Main data'!G6</f>
        <v>0</v>
      </c>
      <c r="F60" s="15">
        <v>0</v>
      </c>
      <c r="G60" s="15">
        <f>SUM(B60:F60)</f>
        <v>0</v>
      </c>
      <c r="H60" s="34">
        <f>'Main data'!M6</f>
        <v>0</v>
      </c>
      <c r="I60" s="60">
        <f>'Main data'!N6</f>
        <v>0</v>
      </c>
      <c r="J60" s="19" t="b">
        <f>IF((B60+C60+D60+E60)&gt;40000,"200",IF((B60+C60+D60+E60)&gt;25000,"150",IF((B60+C60+D60+E60)&gt;15000,"130",IF((B60+C60+D60+E60)&gt;9000,"110"))))</f>
        <v>0</v>
      </c>
      <c r="K60" s="38">
        <v>0</v>
      </c>
      <c r="L60" s="40"/>
      <c r="M60" s="39"/>
    </row>
    <row r="61" spans="1:13" ht="18.75" customHeight="1" x14ac:dyDescent="0.2">
      <c r="A61" s="15" t="s">
        <v>27</v>
      </c>
      <c r="B61" s="38">
        <f>B60</f>
        <v>0</v>
      </c>
      <c r="C61" s="15">
        <f>ROUND(B61*14%,0)</f>
        <v>0</v>
      </c>
      <c r="D61" s="36">
        <f t="shared" ref="D61:D71" si="0">ROUND(B61*12%,0)</f>
        <v>0</v>
      </c>
      <c r="E61" s="37">
        <f>E60</f>
        <v>0</v>
      </c>
      <c r="F61" s="15">
        <v>0</v>
      </c>
      <c r="G61" s="15">
        <f t="shared" ref="G61:G71" si="1">SUM(B61:F61)</f>
        <v>0</v>
      </c>
      <c r="H61" s="34">
        <f>H60</f>
        <v>0</v>
      </c>
      <c r="I61" s="60">
        <f>I60*1</f>
        <v>0</v>
      </c>
      <c r="J61" s="19" t="b">
        <f>IF((B61+C61+D61+E61)&gt;40000,"200",IF((B61+C61+D61+E61)&gt;25000,"150",IF((B61+C61+D61+E61)&gt;15000,"130",IF((B61+C61+D61+E61)&gt;9000,"110"))))</f>
        <v>0</v>
      </c>
      <c r="K61" s="38">
        <v>0</v>
      </c>
      <c r="L61" s="40"/>
      <c r="M61" s="39"/>
    </row>
    <row r="62" spans="1:13" ht="18.75" customHeight="1" x14ac:dyDescent="0.2">
      <c r="A62" s="15" t="s">
        <v>28</v>
      </c>
      <c r="B62" s="38">
        <f t="shared" ref="B62:B63" si="2">B61</f>
        <v>0</v>
      </c>
      <c r="C62" s="15">
        <f t="shared" ref="C62:C71" si="3">ROUND(B62*14%,0)</f>
        <v>0</v>
      </c>
      <c r="D62" s="36">
        <f t="shared" si="0"/>
        <v>0</v>
      </c>
      <c r="E62" s="37">
        <f t="shared" ref="E62:E71" si="4">E61</f>
        <v>0</v>
      </c>
      <c r="F62" s="15">
        <v>0</v>
      </c>
      <c r="G62" s="15">
        <f t="shared" si="1"/>
        <v>0</v>
      </c>
      <c r="H62" s="34">
        <f t="shared" ref="H62:H71" si="5">H61</f>
        <v>0</v>
      </c>
      <c r="I62" s="60">
        <f t="shared" ref="I62:I71" si="6">I61*1</f>
        <v>0</v>
      </c>
      <c r="J62" s="19" t="b">
        <f t="shared" ref="J62:J71" si="7">IF((B62+C62+D62+E62)&gt;40000,"200",IF((B62+C62+D62+E62)&gt;25000,"150",IF((B62+C62+D62+E62)&gt;15000,"130",IF((B62+C62+D62+E62)&gt;9000,"110"))))</f>
        <v>0</v>
      </c>
      <c r="K62" s="38">
        <v>0</v>
      </c>
      <c r="L62" s="40"/>
      <c r="M62" s="39"/>
    </row>
    <row r="63" spans="1:13" ht="18.75" customHeight="1" x14ac:dyDescent="0.2">
      <c r="A63" s="15" t="s">
        <v>29</v>
      </c>
      <c r="B63" s="38">
        <f t="shared" si="2"/>
        <v>0</v>
      </c>
      <c r="C63" s="15">
        <f t="shared" si="3"/>
        <v>0</v>
      </c>
      <c r="D63" s="36">
        <f t="shared" si="0"/>
        <v>0</v>
      </c>
      <c r="E63" s="37">
        <f t="shared" si="4"/>
        <v>0</v>
      </c>
      <c r="F63" s="15">
        <v>0</v>
      </c>
      <c r="G63" s="15">
        <f t="shared" si="1"/>
        <v>0</v>
      </c>
      <c r="H63" s="34">
        <f t="shared" si="5"/>
        <v>0</v>
      </c>
      <c r="I63" s="60">
        <f t="shared" si="6"/>
        <v>0</v>
      </c>
      <c r="J63" s="19" t="b">
        <f t="shared" si="7"/>
        <v>0</v>
      </c>
      <c r="K63" s="38">
        <v>0</v>
      </c>
      <c r="L63" s="40"/>
      <c r="M63" s="39"/>
    </row>
    <row r="64" spans="1:13" ht="18.75" customHeight="1" x14ac:dyDescent="0.2">
      <c r="A64" s="15" t="s">
        <v>30</v>
      </c>
      <c r="B64" s="38">
        <f>MROUND((B60*1.03),100)</f>
        <v>0</v>
      </c>
      <c r="C64" s="15">
        <f t="shared" si="3"/>
        <v>0</v>
      </c>
      <c r="D64" s="36">
        <f t="shared" si="0"/>
        <v>0</v>
      </c>
      <c r="E64" s="37">
        <f t="shared" si="4"/>
        <v>0</v>
      </c>
      <c r="F64" s="15">
        <v>0</v>
      </c>
      <c r="G64" s="15">
        <f t="shared" si="1"/>
        <v>0</v>
      </c>
      <c r="H64" s="34">
        <f t="shared" si="5"/>
        <v>0</v>
      </c>
      <c r="I64" s="60">
        <f t="shared" si="6"/>
        <v>0</v>
      </c>
      <c r="J64" s="19" t="b">
        <f t="shared" si="7"/>
        <v>0</v>
      </c>
      <c r="K64" s="38">
        <v>0</v>
      </c>
      <c r="L64" s="40"/>
      <c r="M64" s="39"/>
    </row>
    <row r="65" spans="1:13" ht="18.75" customHeight="1" x14ac:dyDescent="0.2">
      <c r="A65" s="15" t="s">
        <v>46</v>
      </c>
      <c r="B65" s="38">
        <f>B64</f>
        <v>0</v>
      </c>
      <c r="C65" s="15">
        <f t="shared" si="3"/>
        <v>0</v>
      </c>
      <c r="D65" s="36">
        <f t="shared" si="0"/>
        <v>0</v>
      </c>
      <c r="E65" s="37">
        <f t="shared" si="4"/>
        <v>0</v>
      </c>
      <c r="F65" s="15">
        <v>0</v>
      </c>
      <c r="G65" s="15">
        <f t="shared" si="1"/>
        <v>0</v>
      </c>
      <c r="H65" s="34">
        <f t="shared" si="5"/>
        <v>0</v>
      </c>
      <c r="I65" s="60">
        <f t="shared" si="6"/>
        <v>0</v>
      </c>
      <c r="J65" s="19" t="b">
        <f t="shared" si="7"/>
        <v>0</v>
      </c>
      <c r="K65" s="38">
        <f>'Main data'!O6</f>
        <v>0</v>
      </c>
      <c r="L65" s="40"/>
      <c r="M65" s="39"/>
    </row>
    <row r="66" spans="1:13" ht="18.75" customHeight="1" x14ac:dyDescent="0.2">
      <c r="A66" s="15" t="s">
        <v>40</v>
      </c>
      <c r="B66" s="38">
        <f t="shared" ref="B66:B71" si="8">B65</f>
        <v>0</v>
      </c>
      <c r="C66" s="15">
        <f t="shared" si="3"/>
        <v>0</v>
      </c>
      <c r="D66" s="36">
        <f t="shared" si="0"/>
        <v>0</v>
      </c>
      <c r="E66" s="37">
        <f t="shared" si="4"/>
        <v>0</v>
      </c>
      <c r="F66" s="15">
        <f>'Main data'!H6</f>
        <v>0</v>
      </c>
      <c r="G66" s="15">
        <f t="shared" si="1"/>
        <v>0</v>
      </c>
      <c r="H66" s="34">
        <f t="shared" si="5"/>
        <v>0</v>
      </c>
      <c r="I66" s="60">
        <f t="shared" si="6"/>
        <v>0</v>
      </c>
      <c r="J66" s="19" t="b">
        <f t="shared" si="7"/>
        <v>0</v>
      </c>
      <c r="K66" s="38">
        <f>'Main data'!P6</f>
        <v>0</v>
      </c>
      <c r="L66" s="40"/>
      <c r="M66" s="39"/>
    </row>
    <row r="67" spans="1:13" ht="18.75" customHeight="1" x14ac:dyDescent="0.2">
      <c r="A67" s="15" t="s">
        <v>41</v>
      </c>
      <c r="B67" s="38">
        <f t="shared" si="8"/>
        <v>0</v>
      </c>
      <c r="C67" s="15">
        <f t="shared" si="3"/>
        <v>0</v>
      </c>
      <c r="D67" s="36">
        <f t="shared" si="0"/>
        <v>0</v>
      </c>
      <c r="E67" s="37">
        <f t="shared" si="4"/>
        <v>0</v>
      </c>
      <c r="F67" s="15">
        <v>0</v>
      </c>
      <c r="G67" s="15">
        <f t="shared" si="1"/>
        <v>0</v>
      </c>
      <c r="H67" s="34">
        <f t="shared" si="5"/>
        <v>0</v>
      </c>
      <c r="I67" s="60">
        <f t="shared" si="6"/>
        <v>0</v>
      </c>
      <c r="J67" s="19" t="b">
        <f t="shared" si="7"/>
        <v>0</v>
      </c>
      <c r="K67" s="38">
        <f>'Main data'!Q6</f>
        <v>0</v>
      </c>
      <c r="L67" s="40"/>
      <c r="M67" s="39"/>
    </row>
    <row r="68" spans="1:13" ht="18.75" customHeight="1" x14ac:dyDescent="0.2">
      <c r="A68" s="15" t="s">
        <v>42</v>
      </c>
      <c r="B68" s="38">
        <f t="shared" si="8"/>
        <v>0</v>
      </c>
      <c r="C68" s="15">
        <f t="shared" si="3"/>
        <v>0</v>
      </c>
      <c r="D68" s="36">
        <f t="shared" si="0"/>
        <v>0</v>
      </c>
      <c r="E68" s="37">
        <f t="shared" si="4"/>
        <v>0</v>
      </c>
      <c r="F68" s="15">
        <f>'Main data'!I6</f>
        <v>0</v>
      </c>
      <c r="G68" s="15">
        <f t="shared" si="1"/>
        <v>0</v>
      </c>
      <c r="H68" s="34">
        <f t="shared" si="5"/>
        <v>0</v>
      </c>
      <c r="I68" s="60">
        <f t="shared" si="6"/>
        <v>0</v>
      </c>
      <c r="J68" s="19" t="b">
        <f t="shared" si="7"/>
        <v>0</v>
      </c>
      <c r="K68" s="38">
        <f>'Main data'!R6</f>
        <v>0</v>
      </c>
      <c r="L68" s="40"/>
      <c r="M68" s="39"/>
    </row>
    <row r="69" spans="1:13" ht="18.75" customHeight="1" x14ac:dyDescent="0.2">
      <c r="A69" s="15" t="s">
        <v>43</v>
      </c>
      <c r="B69" s="38">
        <f t="shared" si="8"/>
        <v>0</v>
      </c>
      <c r="C69" s="15">
        <f t="shared" si="3"/>
        <v>0</v>
      </c>
      <c r="D69" s="36">
        <f t="shared" si="0"/>
        <v>0</v>
      </c>
      <c r="E69" s="37">
        <f t="shared" si="4"/>
        <v>0</v>
      </c>
      <c r="F69" s="15">
        <f>'Main data'!J6</f>
        <v>0</v>
      </c>
      <c r="G69" s="15">
        <f t="shared" si="1"/>
        <v>0</v>
      </c>
      <c r="H69" s="34">
        <f t="shared" si="5"/>
        <v>0</v>
      </c>
      <c r="I69" s="60">
        <f t="shared" si="6"/>
        <v>0</v>
      </c>
      <c r="J69" s="19" t="b">
        <f t="shared" si="7"/>
        <v>0</v>
      </c>
      <c r="K69" s="38">
        <f>'Main data'!S6</f>
        <v>0</v>
      </c>
      <c r="L69" s="40"/>
      <c r="M69" s="39"/>
    </row>
    <row r="70" spans="1:13" ht="18.75" customHeight="1" x14ac:dyDescent="0.2">
      <c r="A70" s="15" t="s">
        <v>44</v>
      </c>
      <c r="B70" s="38">
        <f t="shared" si="8"/>
        <v>0</v>
      </c>
      <c r="C70" s="15">
        <f t="shared" si="3"/>
        <v>0</v>
      </c>
      <c r="D70" s="36">
        <f t="shared" si="0"/>
        <v>0</v>
      </c>
      <c r="E70" s="37">
        <f t="shared" si="4"/>
        <v>0</v>
      </c>
      <c r="F70" s="15">
        <v>0</v>
      </c>
      <c r="G70" s="15">
        <f t="shared" si="1"/>
        <v>0</v>
      </c>
      <c r="H70" s="34">
        <f t="shared" si="5"/>
        <v>0</v>
      </c>
      <c r="I70" s="60">
        <f t="shared" si="6"/>
        <v>0</v>
      </c>
      <c r="J70" s="19" t="b">
        <f t="shared" si="7"/>
        <v>0</v>
      </c>
      <c r="K70" s="38">
        <f>'Main data'!T6</f>
        <v>0</v>
      </c>
      <c r="L70" s="40"/>
      <c r="M70" s="39"/>
    </row>
    <row r="71" spans="1:13" ht="18.75" customHeight="1" x14ac:dyDescent="0.2">
      <c r="A71" s="15" t="s">
        <v>45</v>
      </c>
      <c r="B71" s="38">
        <f t="shared" si="8"/>
        <v>0</v>
      </c>
      <c r="C71" s="15">
        <f t="shared" si="3"/>
        <v>0</v>
      </c>
      <c r="D71" s="36">
        <f t="shared" si="0"/>
        <v>0</v>
      </c>
      <c r="E71" s="37">
        <f t="shared" si="4"/>
        <v>0</v>
      </c>
      <c r="F71" s="15">
        <v>0</v>
      </c>
      <c r="G71" s="15">
        <f t="shared" si="1"/>
        <v>0</v>
      </c>
      <c r="H71" s="34">
        <f t="shared" si="5"/>
        <v>0</v>
      </c>
      <c r="I71" s="60">
        <f t="shared" si="6"/>
        <v>0</v>
      </c>
      <c r="J71" s="19" t="b">
        <f t="shared" si="7"/>
        <v>0</v>
      </c>
      <c r="K71" s="38">
        <f>'Main data'!U6</f>
        <v>0</v>
      </c>
      <c r="L71" s="40"/>
      <c r="M71" s="39"/>
    </row>
    <row r="72" spans="1:13" ht="31.5" customHeight="1" x14ac:dyDescent="0.2">
      <c r="A72" s="15" t="s">
        <v>17</v>
      </c>
      <c r="B72" s="80">
        <f t="shared" ref="B72:I72" si="9">SUM(B60:B71)</f>
        <v>0</v>
      </c>
      <c r="C72" s="80">
        <f>SUM(C60:C71)</f>
        <v>0</v>
      </c>
      <c r="D72" s="80">
        <f t="shared" si="9"/>
        <v>0</v>
      </c>
      <c r="E72" s="80">
        <f>SUM(E60:E69)+E70+E71</f>
        <v>0</v>
      </c>
      <c r="F72" s="80">
        <f t="shared" si="9"/>
        <v>0</v>
      </c>
      <c r="G72" s="80">
        <f>SUM(G60:G71)</f>
        <v>0</v>
      </c>
      <c r="H72" s="80">
        <f t="shared" si="9"/>
        <v>0</v>
      </c>
      <c r="I72" s="80">
        <f t="shared" si="9"/>
        <v>0</v>
      </c>
      <c r="J72" s="80">
        <f>J60+J61+J62+J63+J64+J65+J66+J67+J68+J69+J70+J71</f>
        <v>0</v>
      </c>
      <c r="K72" s="80">
        <f>SUM(K60:K71)</f>
        <v>0</v>
      </c>
      <c r="L72" s="80"/>
      <c r="M72" s="80"/>
    </row>
    <row r="74" spans="1:13" x14ac:dyDescent="0.2">
      <c r="A74" s="7"/>
      <c r="B74" s="7"/>
      <c r="C74" s="7"/>
      <c r="D74" s="7"/>
      <c r="E74" s="7"/>
      <c r="F74" s="7"/>
      <c r="G74" s="7"/>
      <c r="H74" s="7"/>
      <c r="I74" s="7"/>
      <c r="J74" s="3"/>
      <c r="K74" s="3"/>
      <c r="L74" s="3"/>
      <c r="M74" s="3"/>
    </row>
    <row r="75" spans="1:13" x14ac:dyDescent="0.2">
      <c r="A75" s="7"/>
      <c r="B75" s="7"/>
      <c r="C75" s="7"/>
      <c r="D75" s="7"/>
      <c r="E75" s="7"/>
      <c r="F75" s="7"/>
      <c r="G75" s="7"/>
      <c r="H75" s="7"/>
      <c r="I75" s="7"/>
      <c r="J75" s="3"/>
      <c r="K75" s="3"/>
      <c r="L75" s="3"/>
      <c r="M75" s="3"/>
    </row>
    <row r="76" spans="1:13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D77" s="7"/>
      <c r="E77" s="7"/>
      <c r="F77" s="7"/>
    </row>
    <row r="78" spans="1:13" x14ac:dyDescent="0.2">
      <c r="A78" s="148" t="s">
        <v>51</v>
      </c>
      <c r="B78" s="148"/>
      <c r="C78" s="148"/>
      <c r="K78" s="132" t="s">
        <v>79</v>
      </c>
      <c r="L78" s="132"/>
      <c r="M78" s="132"/>
    </row>
    <row r="79" spans="1:13" x14ac:dyDescent="0.2">
      <c r="A79" s="134" t="s">
        <v>52</v>
      </c>
      <c r="B79" s="134"/>
      <c r="C79" s="134"/>
    </row>
  </sheetData>
  <sheetProtection formatCells="0" formatColumns="0" formatRows="0" insertColumns="0" insertRows="0" insertHyperlinks="0" deleteColumns="0" deleteRows="0" sort="0" autoFilter="0" pivotTables="0"/>
  <customSheetViews>
    <customSheetView guid="{E6A9D0A8-5CFD-4D21-BBB4-51B5F05875BD}">
      <selection activeCell="G32" sqref="G32"/>
      <pageMargins left="0.7" right="0.7" top="0.75" bottom="0.75" header="0.3" footer="0.3"/>
      <pageSetup orientation="portrait" r:id="rId1"/>
    </customSheetView>
  </customSheetViews>
  <mergeCells count="55">
    <mergeCell ref="A78:C78"/>
    <mergeCell ref="K78:M78"/>
    <mergeCell ref="A79:C79"/>
    <mergeCell ref="I13:K13"/>
    <mergeCell ref="B34:F34"/>
    <mergeCell ref="B33:F33"/>
    <mergeCell ref="B32:F32"/>
    <mergeCell ref="B31:F31"/>
    <mergeCell ref="B30:F30"/>
    <mergeCell ref="B29:F29"/>
    <mergeCell ref="B28:F28"/>
    <mergeCell ref="B27:F27"/>
    <mergeCell ref="B26:F26"/>
    <mergeCell ref="B25:F25"/>
    <mergeCell ref="B24:F24"/>
    <mergeCell ref="J47:M47"/>
    <mergeCell ref="H12:M12"/>
    <mergeCell ref="H6:M6"/>
    <mergeCell ref="B9:F9"/>
    <mergeCell ref="B10:F10"/>
    <mergeCell ref="H9:M9"/>
    <mergeCell ref="H10:M10"/>
    <mergeCell ref="H11:M11"/>
    <mergeCell ref="A2:M2"/>
    <mergeCell ref="A4:M4"/>
    <mergeCell ref="B8:F8"/>
    <mergeCell ref="B7:F7"/>
    <mergeCell ref="B6:F6"/>
    <mergeCell ref="H8:M8"/>
    <mergeCell ref="H7:M7"/>
    <mergeCell ref="B5:F5"/>
    <mergeCell ref="H5:M5"/>
    <mergeCell ref="A22:F22"/>
    <mergeCell ref="B11:F11"/>
    <mergeCell ref="B16:F16"/>
    <mergeCell ref="B17:F17"/>
    <mergeCell ref="B18:F18"/>
    <mergeCell ref="A19:F19"/>
    <mergeCell ref="B12:F12"/>
    <mergeCell ref="B38:F38"/>
    <mergeCell ref="H58:M58"/>
    <mergeCell ref="A20:A21"/>
    <mergeCell ref="B20:F20"/>
    <mergeCell ref="G20:G21"/>
    <mergeCell ref="A49:C49"/>
    <mergeCell ref="B21:F21"/>
    <mergeCell ref="A56:M56"/>
    <mergeCell ref="A48:C48"/>
    <mergeCell ref="B37:E37"/>
    <mergeCell ref="A58:G58"/>
    <mergeCell ref="B35:F35"/>
    <mergeCell ref="A35:A36"/>
    <mergeCell ref="B23:F23"/>
    <mergeCell ref="B36:F36"/>
    <mergeCell ref="A25:A34"/>
  </mergeCells>
  <pageMargins left="0.56999999999999995" right="0.34" top="0.3" bottom="1.22" header="0.3" footer="0.3"/>
  <pageSetup scale="9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55"/>
  <sheetViews>
    <sheetView showGridLines="0" showRowColHeaders="0" view="pageBreakPreview" zoomScale="130" zoomScaleSheetLayoutView="130" workbookViewId="0">
      <selection activeCell="D14" sqref="D14"/>
    </sheetView>
  </sheetViews>
  <sheetFormatPr defaultRowHeight="12.75" x14ac:dyDescent="0.2"/>
  <cols>
    <col min="1" max="1" width="5.28515625" customWidth="1"/>
    <col min="4" max="4" width="14.5703125" customWidth="1"/>
    <col min="5" max="5" width="17.5703125" customWidth="1"/>
    <col min="6" max="6" width="10.5703125" customWidth="1"/>
    <col min="7" max="7" width="20.85546875" customWidth="1"/>
    <col min="8" max="8" width="6.140625" bestFit="1" customWidth="1"/>
    <col min="9" max="9" width="8.42578125" customWidth="1"/>
    <col min="10" max="10" width="6.7109375" customWidth="1"/>
    <col min="11" max="12" width="7.28515625" customWidth="1"/>
    <col min="13" max="13" width="8.42578125" customWidth="1"/>
    <col min="14" max="14" width="8" customWidth="1"/>
    <col min="15" max="15" width="7.28515625" customWidth="1"/>
    <col min="16" max="16" width="4.85546875" customWidth="1"/>
    <col min="17" max="17" width="7.140625" customWidth="1"/>
    <col min="18" max="18" width="6.28515625" customWidth="1"/>
    <col min="19" max="19" width="5.140625" customWidth="1"/>
    <col min="20" max="20" width="8" customWidth="1"/>
  </cols>
  <sheetData>
    <row r="1" spans="1:20" ht="14.25" x14ac:dyDescent="0.2">
      <c r="A1" s="154" t="s">
        <v>176</v>
      </c>
      <c r="B1" s="154"/>
      <c r="C1" s="154"/>
      <c r="D1" s="154"/>
      <c r="E1" s="154"/>
      <c r="F1" s="154"/>
      <c r="G1" s="154"/>
      <c r="H1" s="4">
        <v>17</v>
      </c>
      <c r="I1" s="130" t="s">
        <v>107</v>
      </c>
      <c r="J1" s="130"/>
      <c r="K1" s="130"/>
      <c r="L1" s="130"/>
      <c r="M1" s="12">
        <f>G34-G55</f>
        <v>-50000</v>
      </c>
      <c r="N1" s="7"/>
      <c r="O1" s="7"/>
    </row>
    <row r="2" spans="1:20" ht="25.5" customHeight="1" x14ac:dyDescent="0.2">
      <c r="A2" s="155" t="s">
        <v>177</v>
      </c>
      <c r="B2" s="155"/>
      <c r="C2" s="155"/>
      <c r="D2" s="155"/>
      <c r="E2" s="155"/>
      <c r="F2" s="155"/>
      <c r="G2" s="155"/>
      <c r="H2" s="4"/>
      <c r="I2" s="164" t="s">
        <v>85</v>
      </c>
      <c r="J2" s="164"/>
      <c r="K2" s="164"/>
      <c r="L2" s="164"/>
      <c r="M2" s="13" t="str">
        <f>IF(M1&gt;1000000,(12500+100000+ROUND((M1-1000000)*30%,0)),IF(M1&gt;500000,(12500+ROUND((M1-500000)*20%,0)),IF(M1&lt;250000," 0",ROUND((M1-250000)*5%,0))))</f>
        <v xml:space="preserve"> 0</v>
      </c>
      <c r="N2" s="8"/>
      <c r="O2" s="8"/>
      <c r="P2" s="4"/>
      <c r="Q2" s="4"/>
      <c r="R2" s="4"/>
      <c r="S2" s="4"/>
      <c r="T2" s="4"/>
    </row>
    <row r="3" spans="1:20" hidden="1" x14ac:dyDescent="0.2">
      <c r="H3" s="4"/>
      <c r="I3" s="4"/>
      <c r="J3" s="4"/>
      <c r="K3" s="4"/>
      <c r="L3" s="4"/>
      <c r="M3" s="26" t="str">
        <f>M2</f>
        <v xml:space="preserve"> 0</v>
      </c>
      <c r="N3" s="8"/>
      <c r="O3" s="8"/>
      <c r="P3" s="4"/>
      <c r="Q3" s="4"/>
      <c r="R3" s="4"/>
      <c r="S3" s="4"/>
      <c r="T3" s="4"/>
    </row>
    <row r="4" spans="1:20" ht="13.15" customHeight="1" x14ac:dyDescent="0.2">
      <c r="H4" s="4">
        <v>18</v>
      </c>
      <c r="I4" s="165" t="s">
        <v>144</v>
      </c>
      <c r="J4" s="165"/>
      <c r="K4" s="165"/>
      <c r="L4" s="165"/>
      <c r="M4" s="70">
        <f>MROUND(M2, 10)</f>
        <v>0</v>
      </c>
      <c r="N4" s="8"/>
      <c r="O4" s="8"/>
      <c r="P4" s="4"/>
      <c r="Q4" s="4"/>
      <c r="R4" s="4"/>
      <c r="S4" s="4"/>
      <c r="T4" s="4"/>
    </row>
    <row r="5" spans="1:20" ht="12.75" customHeight="1" x14ac:dyDescent="0.2">
      <c r="A5" s="5" t="s">
        <v>49</v>
      </c>
      <c r="B5" s="157" t="s">
        <v>84</v>
      </c>
      <c r="C5" s="157"/>
      <c r="D5" s="157"/>
      <c r="E5" s="134" t="s">
        <v>39</v>
      </c>
      <c r="F5" s="134"/>
      <c r="G5" s="134"/>
      <c r="H5" s="4"/>
      <c r="I5" s="163" t="s">
        <v>118</v>
      </c>
      <c r="J5" s="164"/>
      <c r="K5" s="164"/>
      <c r="L5" s="164"/>
      <c r="M5" s="30" t="str">
        <f>IF(M1&gt;500000,"0","12500")</f>
        <v>12500</v>
      </c>
      <c r="N5" s="8"/>
      <c r="O5" s="8"/>
      <c r="P5" s="4"/>
      <c r="Q5" s="4"/>
      <c r="R5" s="4"/>
      <c r="S5" s="4"/>
      <c r="T5" s="4"/>
    </row>
    <row r="6" spans="1:20" ht="12.75" customHeight="1" x14ac:dyDescent="0.2">
      <c r="A6" s="5"/>
      <c r="B6" s="157" t="s">
        <v>83</v>
      </c>
      <c r="C6" s="157"/>
      <c r="D6" s="157"/>
      <c r="E6" s="134" t="s">
        <v>110</v>
      </c>
      <c r="F6" s="134"/>
      <c r="G6" s="134"/>
      <c r="H6" s="24"/>
      <c r="I6" s="8"/>
      <c r="J6" s="4"/>
      <c r="K6" s="4"/>
      <c r="L6" s="4"/>
      <c r="M6" s="8"/>
      <c r="N6" s="8"/>
      <c r="O6" s="8"/>
      <c r="P6" s="4"/>
      <c r="Q6" s="4"/>
      <c r="R6" s="4"/>
      <c r="S6" s="4"/>
      <c r="T6" s="4"/>
    </row>
    <row r="7" spans="1:20" ht="11.25" hidden="1" customHeight="1" x14ac:dyDescent="0.2">
      <c r="H7" s="4">
        <v>19</v>
      </c>
      <c r="I7" s="8"/>
      <c r="J7" s="4"/>
      <c r="K7" s="4"/>
      <c r="L7" s="4"/>
      <c r="M7" s="31">
        <f>M3-M5</f>
        <v>-12500</v>
      </c>
      <c r="N7" s="8"/>
      <c r="O7" s="8" t="s">
        <v>123</v>
      </c>
      <c r="P7" s="4"/>
      <c r="Q7" s="4"/>
      <c r="R7" s="4"/>
      <c r="S7" s="4"/>
      <c r="T7" s="4"/>
    </row>
    <row r="8" spans="1:20" ht="14.25" customHeight="1" x14ac:dyDescent="0.2">
      <c r="B8" s="157" t="s">
        <v>53</v>
      </c>
      <c r="C8" s="157"/>
      <c r="D8" s="157"/>
      <c r="E8" s="134" t="s">
        <v>112</v>
      </c>
      <c r="F8" s="134"/>
      <c r="G8" s="134"/>
      <c r="H8" s="3">
        <v>20</v>
      </c>
      <c r="I8" s="163" t="s">
        <v>147</v>
      </c>
      <c r="J8" s="163"/>
      <c r="K8" s="163"/>
      <c r="L8" s="163"/>
      <c r="M8" s="13" t="str">
        <f>IF(M7&lt;0,"0",M7)</f>
        <v>0</v>
      </c>
      <c r="N8" s="8"/>
      <c r="O8" s="8"/>
      <c r="P8" s="4"/>
      <c r="Q8" s="4"/>
      <c r="R8" s="4"/>
      <c r="S8" s="4"/>
      <c r="T8" s="4"/>
    </row>
    <row r="9" spans="1:20" ht="16.5" customHeight="1" x14ac:dyDescent="0.2">
      <c r="B9" s="157" t="s">
        <v>54</v>
      </c>
      <c r="C9" s="157"/>
      <c r="D9" s="157"/>
      <c r="E9" s="134" t="s">
        <v>113</v>
      </c>
      <c r="F9" s="134"/>
      <c r="G9" s="134"/>
      <c r="H9" s="3">
        <v>21</v>
      </c>
      <c r="I9" s="165" t="s">
        <v>151</v>
      </c>
      <c r="J9" s="165"/>
      <c r="K9" s="165"/>
      <c r="L9" s="165"/>
      <c r="M9" s="14">
        <f>ROUND((M8*0.04),0)</f>
        <v>0</v>
      </c>
    </row>
    <row r="10" spans="1:20" ht="13.5" customHeight="1" x14ac:dyDescent="0.2">
      <c r="A10" s="5" t="s">
        <v>49</v>
      </c>
      <c r="B10" s="157" t="s">
        <v>86</v>
      </c>
      <c r="C10" s="157"/>
      <c r="D10" s="157"/>
      <c r="E10" s="134" t="s">
        <v>39</v>
      </c>
      <c r="F10" s="134"/>
      <c r="G10" s="134"/>
      <c r="H10" s="3">
        <v>22</v>
      </c>
      <c r="I10" s="164" t="s">
        <v>116</v>
      </c>
      <c r="J10" s="164"/>
      <c r="K10" s="164"/>
      <c r="L10" s="164"/>
      <c r="M10" s="14">
        <f>SUM(M8:M9)</f>
        <v>0</v>
      </c>
    </row>
    <row r="11" spans="1:20" x14ac:dyDescent="0.2">
      <c r="B11" s="157" t="s">
        <v>83</v>
      </c>
      <c r="C11" s="157"/>
      <c r="D11" s="157"/>
      <c r="E11" s="134" t="s">
        <v>110</v>
      </c>
      <c r="F11" s="134"/>
      <c r="G11" s="134"/>
      <c r="H11" s="3">
        <v>23</v>
      </c>
      <c r="I11" s="167" t="s">
        <v>81</v>
      </c>
      <c r="J11" s="167"/>
      <c r="K11" s="167"/>
      <c r="L11" s="167"/>
      <c r="M11" s="14">
        <f>'Main data'!AK6</f>
        <v>0</v>
      </c>
    </row>
    <row r="12" spans="1:20" ht="17.25" customHeight="1" x14ac:dyDescent="0.2">
      <c r="B12" s="142" t="s">
        <v>53</v>
      </c>
      <c r="C12" s="142"/>
      <c r="D12" s="142"/>
      <c r="E12" s="130" t="s">
        <v>87</v>
      </c>
      <c r="F12" s="130"/>
      <c r="G12" s="130"/>
      <c r="H12" s="3">
        <v>24</v>
      </c>
      <c r="I12" s="163" t="s">
        <v>148</v>
      </c>
      <c r="J12" s="164"/>
      <c r="K12" s="164"/>
      <c r="L12" s="164"/>
      <c r="M12" s="14">
        <f>M10-M11</f>
        <v>0</v>
      </c>
    </row>
    <row r="13" spans="1:20" ht="12.75" customHeight="1" x14ac:dyDescent="0.2">
      <c r="B13" s="157" t="s">
        <v>54</v>
      </c>
      <c r="C13" s="157"/>
      <c r="D13" s="157"/>
      <c r="E13" s="134" t="s">
        <v>141</v>
      </c>
      <c r="F13" s="134"/>
      <c r="G13" s="134"/>
      <c r="H13" s="3">
        <v>25</v>
      </c>
      <c r="I13" s="164" t="s">
        <v>33</v>
      </c>
      <c r="J13" s="164"/>
      <c r="K13" s="164"/>
      <c r="L13" s="164"/>
      <c r="M13" s="14">
        <f>R40</f>
        <v>0</v>
      </c>
    </row>
    <row r="14" spans="1:20" ht="14.25" customHeight="1" x14ac:dyDescent="0.2">
      <c r="A14" t="s">
        <v>31</v>
      </c>
      <c r="D14" s="35">
        <f>'Main data'!A6</f>
        <v>0</v>
      </c>
      <c r="E14" s="11"/>
      <c r="F14" s="16" t="s">
        <v>143</v>
      </c>
      <c r="G14" s="65">
        <f>'Main data'!C6</f>
        <v>0</v>
      </c>
      <c r="H14" s="3">
        <v>26</v>
      </c>
      <c r="I14" s="168" t="s">
        <v>117</v>
      </c>
      <c r="J14" s="168"/>
      <c r="K14" s="168"/>
      <c r="L14" s="168"/>
      <c r="M14" s="28">
        <f>M12-M13</f>
        <v>0</v>
      </c>
    </row>
    <row r="15" spans="1:20" ht="14.25" customHeight="1" x14ac:dyDescent="0.2">
      <c r="A15" t="s">
        <v>0</v>
      </c>
      <c r="D15" s="11">
        <f>'Main data'!B6</f>
        <v>0</v>
      </c>
      <c r="E15" s="11"/>
      <c r="F15" s="11"/>
      <c r="G15" s="11"/>
      <c r="H15" s="5"/>
      <c r="I15" s="5"/>
      <c r="J15" s="5"/>
      <c r="K15" s="5"/>
      <c r="L15" s="5"/>
      <c r="M15" s="4"/>
    </row>
    <row r="16" spans="1:20" ht="14.25" customHeight="1" x14ac:dyDescent="0.2">
      <c r="A16" t="s">
        <v>1</v>
      </c>
      <c r="D16" s="11">
        <f>'Main data'!D6</f>
        <v>0</v>
      </c>
      <c r="E16" s="11"/>
      <c r="F16" s="11"/>
      <c r="G16" s="11"/>
      <c r="H16" s="21" t="s">
        <v>109</v>
      </c>
      <c r="I16" s="66" t="s">
        <v>145</v>
      </c>
      <c r="J16" s="22"/>
      <c r="K16" s="22"/>
      <c r="L16" s="22"/>
      <c r="M16" s="22"/>
      <c r="N16" s="22"/>
      <c r="O16" s="21" t="s">
        <v>111</v>
      </c>
      <c r="P16" s="22"/>
      <c r="Q16" s="22"/>
      <c r="R16" s="22"/>
      <c r="S16" s="22"/>
      <c r="T16" s="22"/>
    </row>
    <row r="17" spans="1:20" ht="26.25" customHeight="1" x14ac:dyDescent="0.2">
      <c r="A17" s="3">
        <v>1</v>
      </c>
      <c r="B17" s="141" t="s">
        <v>94</v>
      </c>
      <c r="C17" s="141"/>
      <c r="D17" s="141"/>
      <c r="E17" s="141"/>
      <c r="F17" s="141"/>
      <c r="G17" s="9">
        <f>I40+J40+L40</f>
        <v>0</v>
      </c>
      <c r="H17" s="5"/>
      <c r="I17" s="5"/>
      <c r="J17" s="5"/>
      <c r="K17" s="5"/>
      <c r="L17" s="5"/>
      <c r="M17" s="4"/>
    </row>
    <row r="18" spans="1:20" ht="15" customHeight="1" x14ac:dyDescent="0.2">
      <c r="A18" s="3">
        <v>2</v>
      </c>
      <c r="B18" s="142" t="s">
        <v>95</v>
      </c>
      <c r="C18" s="142"/>
      <c r="D18" s="142"/>
      <c r="E18" s="142"/>
      <c r="F18" s="142"/>
      <c r="G18" s="9">
        <f>K40</f>
        <v>0</v>
      </c>
      <c r="H18" t="s">
        <v>47</v>
      </c>
      <c r="I18" s="11"/>
      <c r="J18" s="11"/>
      <c r="O18" t="s">
        <v>48</v>
      </c>
      <c r="Q18" s="11"/>
      <c r="R18" s="11"/>
      <c r="S18" s="11"/>
      <c r="T18" s="11"/>
    </row>
    <row r="19" spans="1:20" ht="14.25" customHeight="1" x14ac:dyDescent="0.2">
      <c r="A19" s="3">
        <v>3</v>
      </c>
      <c r="B19" s="142" t="s">
        <v>2</v>
      </c>
      <c r="C19" s="142"/>
      <c r="D19" s="142"/>
      <c r="E19" s="142"/>
      <c r="F19" s="142"/>
      <c r="G19" s="9">
        <f>M27+M28+M30+M31+M32+M33+M35+M36+M37+M38+M39</f>
        <v>0</v>
      </c>
    </row>
    <row r="20" spans="1:20" ht="15" customHeight="1" x14ac:dyDescent="0.2">
      <c r="A20" s="3">
        <v>4</v>
      </c>
      <c r="B20" s="142" t="s">
        <v>3</v>
      </c>
      <c r="C20" s="142"/>
      <c r="D20" s="142"/>
      <c r="E20" s="142"/>
      <c r="F20" s="142"/>
      <c r="G20" s="9">
        <f>M34</f>
        <v>0</v>
      </c>
      <c r="O20" t="s">
        <v>0</v>
      </c>
      <c r="Q20" s="166">
        <f>'Main data'!B6</f>
        <v>0</v>
      </c>
      <c r="R20" s="166"/>
      <c r="S20" s="166"/>
      <c r="T20" s="166"/>
    </row>
    <row r="21" spans="1:20" ht="15" customHeight="1" x14ac:dyDescent="0.2">
      <c r="A21" s="139" t="s">
        <v>4</v>
      </c>
      <c r="B21" s="139"/>
      <c r="C21" s="139"/>
      <c r="D21" s="139"/>
      <c r="E21" s="139"/>
      <c r="F21" s="139"/>
      <c r="G21" s="44">
        <f>SUM(G17:G20)</f>
        <v>0</v>
      </c>
    </row>
    <row r="22" spans="1:20" x14ac:dyDescent="0.2">
      <c r="A22" s="130">
        <v>5</v>
      </c>
      <c r="B22" s="131" t="s">
        <v>5</v>
      </c>
      <c r="C22" s="131"/>
      <c r="D22" s="131"/>
      <c r="E22" s="131"/>
      <c r="F22" s="131"/>
      <c r="G22" s="3"/>
    </row>
    <row r="23" spans="1:20" ht="18" x14ac:dyDescent="0.2">
      <c r="A23" s="130"/>
      <c r="B23" s="135" t="s">
        <v>67</v>
      </c>
      <c r="C23" s="134"/>
      <c r="D23" s="134"/>
      <c r="E23" s="134"/>
      <c r="F23" s="134"/>
      <c r="G23" s="23">
        <f>'Main data'!L6+'Main data'!K6</f>
        <v>0</v>
      </c>
      <c r="H23" s="136" t="s">
        <v>149</v>
      </c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1:20" ht="15.75" customHeight="1" x14ac:dyDescent="0.2">
      <c r="A24" s="139" t="s">
        <v>6</v>
      </c>
      <c r="B24" s="139"/>
      <c r="C24" s="139"/>
      <c r="D24" s="139"/>
      <c r="E24" s="139"/>
      <c r="F24" s="139"/>
      <c r="G24" s="45">
        <f>G21+G23</f>
        <v>0</v>
      </c>
    </row>
    <row r="25" spans="1:20" x14ac:dyDescent="0.2">
      <c r="A25" s="5">
        <v>6</v>
      </c>
      <c r="B25" s="156" t="s">
        <v>34</v>
      </c>
      <c r="C25" s="156"/>
      <c r="D25" s="156"/>
      <c r="E25" s="156"/>
      <c r="F25" s="156"/>
      <c r="G25" s="3"/>
      <c r="H25" s="127" t="s">
        <v>18</v>
      </c>
      <c r="I25" s="128"/>
      <c r="J25" s="128"/>
      <c r="K25" s="128"/>
      <c r="L25" s="128"/>
      <c r="M25" s="128"/>
      <c r="N25" s="129"/>
      <c r="O25" s="127" t="s">
        <v>19</v>
      </c>
      <c r="P25" s="128"/>
      <c r="Q25" s="128"/>
      <c r="R25" s="128"/>
      <c r="S25" s="128"/>
      <c r="T25" s="129"/>
    </row>
    <row r="26" spans="1:20" ht="24.75" customHeight="1" x14ac:dyDescent="0.2">
      <c r="A26" s="5"/>
      <c r="B26" s="157" t="s">
        <v>35</v>
      </c>
      <c r="C26" s="157"/>
      <c r="D26" s="157"/>
      <c r="E26" s="157"/>
      <c r="F26" s="157"/>
      <c r="G26" s="45">
        <f>K40</f>
        <v>0</v>
      </c>
      <c r="H26" s="1" t="s">
        <v>20</v>
      </c>
      <c r="I26" s="1" t="s">
        <v>92</v>
      </c>
      <c r="J26" s="1" t="s">
        <v>21</v>
      </c>
      <c r="K26" s="1" t="s">
        <v>89</v>
      </c>
      <c r="L26" s="1" t="s">
        <v>90</v>
      </c>
      <c r="M26" s="18" t="s">
        <v>25</v>
      </c>
      <c r="N26" s="1" t="s">
        <v>17</v>
      </c>
      <c r="O26" s="1" t="s">
        <v>91</v>
      </c>
      <c r="P26" s="1" t="s">
        <v>60</v>
      </c>
      <c r="Q26" s="25" t="s">
        <v>22</v>
      </c>
      <c r="R26" s="1" t="s">
        <v>23</v>
      </c>
      <c r="S26" s="1" t="s">
        <v>24</v>
      </c>
      <c r="T26" s="1" t="s">
        <v>80</v>
      </c>
    </row>
    <row r="27" spans="1:20" ht="15" customHeight="1" x14ac:dyDescent="0.2">
      <c r="A27" s="5"/>
      <c r="B27" s="141" t="s">
        <v>36</v>
      </c>
      <c r="C27" s="141"/>
      <c r="D27" s="141"/>
      <c r="E27" s="141"/>
      <c r="F27" s="141"/>
      <c r="G27" s="41">
        <v>0</v>
      </c>
      <c r="H27" s="15" t="s">
        <v>26</v>
      </c>
      <c r="I27" s="38">
        <f>'Main data'!E6</f>
        <v>0</v>
      </c>
      <c r="J27" s="15">
        <f>ROUND(I27*10%,0)</f>
        <v>0</v>
      </c>
      <c r="K27" s="32">
        <f>ROUND(I27*12%,0)</f>
        <v>0</v>
      </c>
      <c r="L27" s="33">
        <f>'Main data'!G6</f>
        <v>0</v>
      </c>
      <c r="M27" s="15">
        <v>0</v>
      </c>
      <c r="N27" s="15">
        <f>SUM(I27:M27)</f>
        <v>0</v>
      </c>
      <c r="O27" s="34">
        <f>'Main data'!M6</f>
        <v>0</v>
      </c>
      <c r="P27" s="46">
        <f>'Main data'!N6</f>
        <v>0</v>
      </c>
      <c r="Q27" s="19" t="b">
        <f>IF((I27+J27+K27+L27)&gt;40000,"200",IF((I27+J27+K27+L27)&gt;25000,"150",IF((I27+J27+K27+L27)&gt;15000,"130",IF((I27+J27+K27+L27)&gt;9000,"110"))))</f>
        <v>0</v>
      </c>
      <c r="R27" s="40">
        <v>0</v>
      </c>
      <c r="S27" s="39"/>
      <c r="T27" s="38"/>
    </row>
    <row r="28" spans="1:20" ht="15" customHeight="1" x14ac:dyDescent="0.2">
      <c r="A28" s="5"/>
      <c r="B28" s="141" t="s">
        <v>130</v>
      </c>
      <c r="C28" s="141"/>
      <c r="D28" s="141"/>
      <c r="E28" s="141"/>
      <c r="F28" s="141"/>
      <c r="G28" s="10">
        <f>(I40+J40)*40%</f>
        <v>0</v>
      </c>
      <c r="H28" s="15" t="s">
        <v>27</v>
      </c>
      <c r="I28" s="38">
        <f>I27</f>
        <v>0</v>
      </c>
      <c r="J28" s="15">
        <f>ROUND(I28*14%,0)</f>
        <v>0</v>
      </c>
      <c r="K28" s="32">
        <f t="shared" ref="K28:K39" si="0">ROUND(I28*12%,0)</f>
        <v>0</v>
      </c>
      <c r="L28" s="33">
        <f>L27</f>
        <v>0</v>
      </c>
      <c r="M28" s="15">
        <v>0</v>
      </c>
      <c r="N28" s="15">
        <f t="shared" ref="N28:N39" si="1">SUM(I28:M28)</f>
        <v>0</v>
      </c>
      <c r="O28" s="34">
        <f>O27</f>
        <v>0</v>
      </c>
      <c r="P28" s="46">
        <f>P27*1</f>
        <v>0</v>
      </c>
      <c r="Q28" s="19" t="b">
        <f>IF((I28+J28+K28+L28)&gt;40000,"200",IF((I28+J28+K28+L28)&gt;25000,"150",IF((I28+J28+K28+L28)&gt;15000,"130",IF((I28+J28+K28+L28)&gt;9000,"110"))))</f>
        <v>0</v>
      </c>
      <c r="R28" s="40">
        <v>0</v>
      </c>
      <c r="S28" s="39"/>
      <c r="T28" s="38"/>
    </row>
    <row r="29" spans="1:20" s="59" customFormat="1" ht="15" hidden="1" customHeight="1" x14ac:dyDescent="0.2">
      <c r="A29" s="47"/>
      <c r="B29" s="162" t="s">
        <v>131</v>
      </c>
      <c r="C29" s="162"/>
      <c r="D29" s="162"/>
      <c r="E29" s="48"/>
      <c r="F29" s="48"/>
      <c r="G29" s="49">
        <f>MIN(G26:G28)</f>
        <v>0</v>
      </c>
      <c r="H29" s="50"/>
      <c r="I29" s="51"/>
      <c r="J29" s="15">
        <f t="shared" ref="J29:J39" si="2">ROUND(I29*14%,0)</f>
        <v>0</v>
      </c>
      <c r="K29" s="52"/>
      <c r="L29" s="53"/>
      <c r="M29" s="50"/>
      <c r="N29" s="50"/>
      <c r="O29" s="54"/>
      <c r="P29" s="55"/>
      <c r="Q29" s="56"/>
      <c r="R29" s="57"/>
      <c r="S29" s="58"/>
      <c r="T29" s="51"/>
    </row>
    <row r="30" spans="1:20" ht="15.75" customHeight="1" x14ac:dyDescent="0.2">
      <c r="A30" s="5">
        <v>7</v>
      </c>
      <c r="B30" s="163" t="s">
        <v>120</v>
      </c>
      <c r="C30" s="164"/>
      <c r="D30" s="164"/>
      <c r="E30" s="164"/>
      <c r="F30" s="164"/>
      <c r="G30" s="9">
        <v>50000</v>
      </c>
      <c r="H30" s="15" t="s">
        <v>28</v>
      </c>
      <c r="I30" s="38">
        <f>I28</f>
        <v>0</v>
      </c>
      <c r="J30" s="15">
        <f t="shared" si="2"/>
        <v>0</v>
      </c>
      <c r="K30" s="32">
        <f t="shared" si="0"/>
        <v>0</v>
      </c>
      <c r="L30" s="33">
        <f>L28</f>
        <v>0</v>
      </c>
      <c r="M30" s="15">
        <v>0</v>
      </c>
      <c r="N30" s="15">
        <f t="shared" si="1"/>
        <v>0</v>
      </c>
      <c r="O30" s="34">
        <f>O28</f>
        <v>0</v>
      </c>
      <c r="P30" s="46">
        <f>P28*1</f>
        <v>0</v>
      </c>
      <c r="Q30" s="19" t="b">
        <f t="shared" ref="Q30:Q39" si="3">IF((I30+J30+K30+L30)&gt;40000,"200",IF((I30+J30+K30+L30)&gt;25000,"150",IF((I30+J30+K30+L30)&gt;15000,"130",IF((I30+J30+K30+L30)&gt;9000,"110"))))</f>
        <v>0</v>
      </c>
      <c r="R30" s="40">
        <v>0</v>
      </c>
      <c r="S30" s="39"/>
      <c r="T30" s="38"/>
    </row>
    <row r="31" spans="1:20" ht="15.75" customHeight="1" x14ac:dyDescent="0.2">
      <c r="A31" s="3">
        <v>8</v>
      </c>
      <c r="B31" s="130" t="s">
        <v>7</v>
      </c>
      <c r="C31" s="130"/>
      <c r="D31" s="130"/>
      <c r="E31" s="130"/>
      <c r="F31" s="130"/>
      <c r="G31" s="10">
        <f>Q40</f>
        <v>0</v>
      </c>
      <c r="H31" s="15" t="s">
        <v>29</v>
      </c>
      <c r="I31" s="38">
        <f t="shared" ref="I31" si="4">I30</f>
        <v>0</v>
      </c>
      <c r="J31" s="15">
        <f t="shared" si="2"/>
        <v>0</v>
      </c>
      <c r="K31" s="32">
        <f t="shared" si="0"/>
        <v>0</v>
      </c>
      <c r="L31" s="33">
        <f t="shared" ref="L31:L39" si="5">L30</f>
        <v>0</v>
      </c>
      <c r="M31" s="15">
        <v>0</v>
      </c>
      <c r="N31" s="15">
        <f t="shared" si="1"/>
        <v>0</v>
      </c>
      <c r="O31" s="34">
        <f t="shared" ref="O31:O39" si="6">O30</f>
        <v>0</v>
      </c>
      <c r="P31" s="46">
        <f t="shared" ref="P31:P39" si="7">P30*1</f>
        <v>0</v>
      </c>
      <c r="Q31" s="19" t="b">
        <f t="shared" si="3"/>
        <v>0</v>
      </c>
      <c r="R31" s="40">
        <v>0</v>
      </c>
      <c r="S31" s="39"/>
      <c r="T31" s="38"/>
    </row>
    <row r="32" spans="1:20" ht="16.5" customHeight="1" x14ac:dyDescent="0.2">
      <c r="A32" s="5">
        <v>9</v>
      </c>
      <c r="B32" s="130" t="s">
        <v>37</v>
      </c>
      <c r="C32" s="130"/>
      <c r="D32" s="130"/>
      <c r="E32" s="130"/>
      <c r="F32" s="130"/>
      <c r="G32" s="9">
        <f>'Main data'!V6</f>
        <v>0</v>
      </c>
      <c r="H32" s="15" t="s">
        <v>30</v>
      </c>
      <c r="I32" s="38">
        <f>MROUND((I27*1.03),100)</f>
        <v>0</v>
      </c>
      <c r="J32" s="15">
        <f t="shared" si="2"/>
        <v>0</v>
      </c>
      <c r="K32" s="32">
        <f t="shared" si="0"/>
        <v>0</v>
      </c>
      <c r="L32" s="33">
        <f t="shared" si="5"/>
        <v>0</v>
      </c>
      <c r="M32" s="15">
        <v>0</v>
      </c>
      <c r="N32" s="15">
        <f t="shared" si="1"/>
        <v>0</v>
      </c>
      <c r="O32" s="34">
        <f t="shared" si="6"/>
        <v>0</v>
      </c>
      <c r="P32" s="46">
        <f t="shared" si="7"/>
        <v>0</v>
      </c>
      <c r="Q32" s="19" t="b">
        <f t="shared" si="3"/>
        <v>0</v>
      </c>
      <c r="R32" s="40">
        <v>0</v>
      </c>
      <c r="S32" s="39"/>
      <c r="T32" s="38"/>
    </row>
    <row r="33" spans="1:20" ht="14.25" customHeight="1" x14ac:dyDescent="0.2">
      <c r="A33" s="152" t="s">
        <v>114</v>
      </c>
      <c r="B33" s="152"/>
      <c r="C33" s="152"/>
      <c r="D33" s="152"/>
      <c r="E33" s="152"/>
      <c r="F33" s="152"/>
      <c r="G33" s="17">
        <f>SUM(G29:G32)</f>
        <v>50000</v>
      </c>
      <c r="H33" s="15" t="s">
        <v>46</v>
      </c>
      <c r="I33" s="38">
        <f>I32</f>
        <v>0</v>
      </c>
      <c r="J33" s="15">
        <f t="shared" si="2"/>
        <v>0</v>
      </c>
      <c r="K33" s="32">
        <f t="shared" si="0"/>
        <v>0</v>
      </c>
      <c r="L33" s="33">
        <f t="shared" si="5"/>
        <v>0</v>
      </c>
      <c r="M33" s="15">
        <v>0</v>
      </c>
      <c r="N33" s="15">
        <f t="shared" si="1"/>
        <v>0</v>
      </c>
      <c r="O33" s="34">
        <f t="shared" si="6"/>
        <v>0</v>
      </c>
      <c r="P33" s="46">
        <f t="shared" si="7"/>
        <v>0</v>
      </c>
      <c r="Q33" s="19" t="b">
        <f t="shared" si="3"/>
        <v>0</v>
      </c>
      <c r="R33" s="40">
        <f>'Main data'!O6</f>
        <v>0</v>
      </c>
      <c r="S33" s="39"/>
      <c r="T33" s="38"/>
    </row>
    <row r="34" spans="1:20" ht="15.75" customHeight="1" x14ac:dyDescent="0.2">
      <c r="A34" s="6"/>
      <c r="B34" s="152" t="s">
        <v>115</v>
      </c>
      <c r="C34" s="152"/>
      <c r="D34" s="152"/>
      <c r="E34" s="152"/>
      <c r="F34" s="152"/>
      <c r="G34" s="29">
        <f>G24-G33</f>
        <v>-50000</v>
      </c>
      <c r="H34" s="15" t="s">
        <v>40</v>
      </c>
      <c r="I34" s="38">
        <f t="shared" ref="I34:I39" si="8">I33</f>
        <v>0</v>
      </c>
      <c r="J34" s="15">
        <f t="shared" si="2"/>
        <v>0</v>
      </c>
      <c r="K34" s="32">
        <f t="shared" si="0"/>
        <v>0</v>
      </c>
      <c r="L34" s="33">
        <f t="shared" si="5"/>
        <v>0</v>
      </c>
      <c r="M34" s="15">
        <f>'Main data'!H6</f>
        <v>0</v>
      </c>
      <c r="N34" s="15">
        <f t="shared" si="1"/>
        <v>0</v>
      </c>
      <c r="O34" s="34">
        <f t="shared" si="6"/>
        <v>0</v>
      </c>
      <c r="P34" s="46">
        <f t="shared" si="7"/>
        <v>0</v>
      </c>
      <c r="Q34" s="19" t="b">
        <f t="shared" si="3"/>
        <v>0</v>
      </c>
      <c r="R34" s="40">
        <f>'Main data'!P6</f>
        <v>0</v>
      </c>
      <c r="S34" s="39"/>
      <c r="T34" s="38"/>
    </row>
    <row r="35" spans="1:20" ht="13.5" customHeight="1" x14ac:dyDescent="0.2">
      <c r="A35" s="3">
        <v>10</v>
      </c>
      <c r="B35" s="158" t="s">
        <v>50</v>
      </c>
      <c r="C35" s="158"/>
      <c r="D35" s="158"/>
      <c r="E35" s="158"/>
      <c r="F35" s="158"/>
      <c r="G35" s="3"/>
      <c r="H35" s="15" t="s">
        <v>41</v>
      </c>
      <c r="I35" s="38">
        <f t="shared" si="8"/>
        <v>0</v>
      </c>
      <c r="J35" s="15">
        <f t="shared" si="2"/>
        <v>0</v>
      </c>
      <c r="K35" s="32">
        <f t="shared" si="0"/>
        <v>0</v>
      </c>
      <c r="L35" s="33">
        <f t="shared" si="5"/>
        <v>0</v>
      </c>
      <c r="M35" s="15">
        <v>0</v>
      </c>
      <c r="N35" s="15">
        <f t="shared" si="1"/>
        <v>0</v>
      </c>
      <c r="O35" s="34">
        <f t="shared" si="6"/>
        <v>0</v>
      </c>
      <c r="P35" s="46">
        <f t="shared" si="7"/>
        <v>0</v>
      </c>
      <c r="Q35" s="19" t="b">
        <f t="shared" si="3"/>
        <v>0</v>
      </c>
      <c r="R35" s="40">
        <f>'Main data'!Q6</f>
        <v>0</v>
      </c>
      <c r="S35" s="39"/>
      <c r="T35" s="38"/>
    </row>
    <row r="36" spans="1:20" ht="15" customHeight="1" x14ac:dyDescent="0.2">
      <c r="A36" s="158" t="s">
        <v>82</v>
      </c>
      <c r="B36" s="158"/>
      <c r="C36" s="158"/>
      <c r="D36" s="158"/>
      <c r="E36" s="158"/>
      <c r="F36" s="158"/>
      <c r="G36" s="3"/>
      <c r="H36" s="15" t="s">
        <v>42</v>
      </c>
      <c r="I36" s="38">
        <f t="shared" si="8"/>
        <v>0</v>
      </c>
      <c r="J36" s="15">
        <f t="shared" si="2"/>
        <v>0</v>
      </c>
      <c r="K36" s="32">
        <f t="shared" si="0"/>
        <v>0</v>
      </c>
      <c r="L36" s="33">
        <f t="shared" si="5"/>
        <v>0</v>
      </c>
      <c r="M36" s="15">
        <f>'Main data'!I6</f>
        <v>0</v>
      </c>
      <c r="N36" s="15">
        <f t="shared" si="1"/>
        <v>0</v>
      </c>
      <c r="O36" s="34">
        <f t="shared" si="6"/>
        <v>0</v>
      </c>
      <c r="P36" s="46">
        <f t="shared" si="7"/>
        <v>0</v>
      </c>
      <c r="Q36" s="19" t="b">
        <f t="shared" si="3"/>
        <v>0</v>
      </c>
      <c r="R36" s="40">
        <f>'Main data'!R6</f>
        <v>0</v>
      </c>
      <c r="S36" s="39"/>
      <c r="T36" s="38"/>
    </row>
    <row r="37" spans="1:20" ht="12.75" customHeight="1" x14ac:dyDescent="0.2">
      <c r="A37" s="3" t="s">
        <v>97</v>
      </c>
      <c r="B37" s="157" t="s">
        <v>93</v>
      </c>
      <c r="C37" s="157"/>
      <c r="D37" s="157"/>
      <c r="E37" s="157"/>
      <c r="F37" s="157"/>
      <c r="G37" s="9">
        <f>O40</f>
        <v>0</v>
      </c>
      <c r="H37" s="15" t="s">
        <v>43</v>
      </c>
      <c r="I37" s="38">
        <f t="shared" si="8"/>
        <v>0</v>
      </c>
      <c r="J37" s="15">
        <f t="shared" si="2"/>
        <v>0</v>
      </c>
      <c r="K37" s="32">
        <f t="shared" si="0"/>
        <v>0</v>
      </c>
      <c r="L37" s="33">
        <f t="shared" si="5"/>
        <v>0</v>
      </c>
      <c r="M37" s="15">
        <f>'Main data'!J6</f>
        <v>0</v>
      </c>
      <c r="N37" s="15">
        <f t="shared" si="1"/>
        <v>0</v>
      </c>
      <c r="O37" s="34">
        <f t="shared" si="6"/>
        <v>0</v>
      </c>
      <c r="P37" s="46">
        <f t="shared" si="7"/>
        <v>0</v>
      </c>
      <c r="Q37" s="19" t="b">
        <f t="shared" si="3"/>
        <v>0</v>
      </c>
      <c r="R37" s="40">
        <f>'Main data'!S6</f>
        <v>0</v>
      </c>
      <c r="S37" s="39"/>
      <c r="T37" s="38"/>
    </row>
    <row r="38" spans="1:20" ht="16.5" customHeight="1" x14ac:dyDescent="0.2">
      <c r="A38" s="3" t="s">
        <v>98</v>
      </c>
      <c r="B38" s="157" t="s">
        <v>8</v>
      </c>
      <c r="C38" s="157"/>
      <c r="D38" s="157"/>
      <c r="E38" s="157"/>
      <c r="F38" s="157"/>
      <c r="G38" s="10">
        <f>P40</f>
        <v>0</v>
      </c>
      <c r="H38" s="15" t="s">
        <v>44</v>
      </c>
      <c r="I38" s="38">
        <f t="shared" si="8"/>
        <v>0</v>
      </c>
      <c r="J38" s="15">
        <f t="shared" si="2"/>
        <v>0</v>
      </c>
      <c r="K38" s="32">
        <f t="shared" si="0"/>
        <v>0</v>
      </c>
      <c r="L38" s="33">
        <f t="shared" si="5"/>
        <v>0</v>
      </c>
      <c r="M38" s="15">
        <v>0</v>
      </c>
      <c r="N38" s="15">
        <f t="shared" si="1"/>
        <v>0</v>
      </c>
      <c r="O38" s="34">
        <f t="shared" si="6"/>
        <v>0</v>
      </c>
      <c r="P38" s="46">
        <f t="shared" si="7"/>
        <v>0</v>
      </c>
      <c r="Q38" s="19" t="b">
        <f t="shared" si="3"/>
        <v>0</v>
      </c>
      <c r="R38" s="40">
        <f>'Main data'!T6</f>
        <v>0</v>
      </c>
      <c r="S38" s="39"/>
      <c r="T38" s="38"/>
    </row>
    <row r="39" spans="1:20" ht="16.5" customHeight="1" x14ac:dyDescent="0.2">
      <c r="A39" s="3" t="s">
        <v>99</v>
      </c>
      <c r="B39" s="157" t="s">
        <v>9</v>
      </c>
      <c r="C39" s="157"/>
      <c r="D39" s="157"/>
      <c r="E39" s="157"/>
      <c r="F39" s="157"/>
      <c r="G39" s="10">
        <f>'Main data'!W6</f>
        <v>0</v>
      </c>
      <c r="H39" s="15" t="s">
        <v>45</v>
      </c>
      <c r="I39" s="38">
        <f t="shared" si="8"/>
        <v>0</v>
      </c>
      <c r="J39" s="15">
        <f t="shared" si="2"/>
        <v>0</v>
      </c>
      <c r="K39" s="32">
        <f t="shared" si="0"/>
        <v>0</v>
      </c>
      <c r="L39" s="33">
        <f t="shared" si="5"/>
        <v>0</v>
      </c>
      <c r="M39" s="15">
        <v>0</v>
      </c>
      <c r="N39" s="15">
        <f t="shared" si="1"/>
        <v>0</v>
      </c>
      <c r="O39" s="34">
        <f t="shared" si="6"/>
        <v>0</v>
      </c>
      <c r="P39" s="46">
        <f t="shared" si="7"/>
        <v>0</v>
      </c>
      <c r="Q39" s="19" t="b">
        <f t="shared" si="3"/>
        <v>0</v>
      </c>
      <c r="R39" s="40">
        <f>'Main data'!U6</f>
        <v>0</v>
      </c>
      <c r="S39" s="39"/>
      <c r="T39" s="38"/>
    </row>
    <row r="40" spans="1:20" ht="21" customHeight="1" x14ac:dyDescent="0.2">
      <c r="A40" s="3" t="s">
        <v>100</v>
      </c>
      <c r="B40" s="157" t="s">
        <v>10</v>
      </c>
      <c r="C40" s="157"/>
      <c r="D40" s="157"/>
      <c r="E40" s="157"/>
      <c r="F40" s="157"/>
      <c r="G40" s="10">
        <f>'Main data'!X6</f>
        <v>0</v>
      </c>
      <c r="H40" s="15" t="s">
        <v>17</v>
      </c>
      <c r="I40" s="81">
        <f t="shared" ref="I40:P40" si="9">SUM(I27:I39)</f>
        <v>0</v>
      </c>
      <c r="J40" s="81">
        <f>SUM(J27:J39)</f>
        <v>0</v>
      </c>
      <c r="K40" s="81">
        <f t="shared" si="9"/>
        <v>0</v>
      </c>
      <c r="L40" s="81">
        <f>SUM(L27:L37)+L38+L39</f>
        <v>0</v>
      </c>
      <c r="M40" s="81">
        <f t="shared" si="9"/>
        <v>0</v>
      </c>
      <c r="N40" s="81">
        <f>SUM(N27:N39)</f>
        <v>0</v>
      </c>
      <c r="O40" s="81">
        <f t="shared" si="9"/>
        <v>0</v>
      </c>
      <c r="P40" s="81">
        <f t="shared" si="9"/>
        <v>0</v>
      </c>
      <c r="Q40" s="81">
        <f>Q27+Q28+Q30+Q31+Q32+Q33+Q34+Q35+Q36+Q37+Q38+Q39</f>
        <v>0</v>
      </c>
      <c r="R40" s="81">
        <f>SUM(R27:R39)</f>
        <v>0</v>
      </c>
      <c r="S40" s="81"/>
      <c r="T40" s="81"/>
    </row>
    <row r="41" spans="1:20" ht="16.5" customHeight="1" x14ac:dyDescent="0.2">
      <c r="A41" s="3" t="s">
        <v>101</v>
      </c>
      <c r="B41" s="157" t="s">
        <v>11</v>
      </c>
      <c r="C41" s="157"/>
      <c r="D41" s="157"/>
      <c r="E41" s="157"/>
      <c r="F41" s="157"/>
      <c r="G41" s="10">
        <f>'Main data'!Y6</f>
        <v>0</v>
      </c>
    </row>
    <row r="42" spans="1:20" ht="16.5" customHeight="1" x14ac:dyDescent="0.2">
      <c r="A42" s="3" t="s">
        <v>102</v>
      </c>
      <c r="B42" s="157" t="s">
        <v>12</v>
      </c>
      <c r="C42" s="157"/>
      <c r="D42" s="157"/>
      <c r="E42" s="157"/>
      <c r="F42" s="157"/>
      <c r="G42" s="10">
        <f>'Main data'!Z6</f>
        <v>0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</row>
    <row r="43" spans="1:20" ht="16.5" customHeight="1" x14ac:dyDescent="0.2">
      <c r="A43" s="3" t="s">
        <v>103</v>
      </c>
      <c r="B43" s="157" t="s">
        <v>13</v>
      </c>
      <c r="C43" s="157"/>
      <c r="D43" s="157"/>
      <c r="E43" s="157"/>
      <c r="F43" s="157"/>
      <c r="G43" s="10">
        <f>'Main data'!AA6</f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6.5" customHeight="1" x14ac:dyDescent="0.2">
      <c r="A44" s="3" t="s">
        <v>104</v>
      </c>
      <c r="B44" s="157" t="s">
        <v>14</v>
      </c>
      <c r="C44" s="157"/>
      <c r="D44" s="157"/>
      <c r="E44" s="157"/>
      <c r="F44" s="157"/>
      <c r="G44" s="10">
        <f>'Main data'!AB6</f>
        <v>0</v>
      </c>
      <c r="K44" s="7"/>
      <c r="L44" s="7"/>
      <c r="M44" s="7"/>
    </row>
    <row r="45" spans="1:20" ht="16.5" customHeight="1" x14ac:dyDescent="0.2">
      <c r="A45" s="3" t="s">
        <v>105</v>
      </c>
      <c r="B45" s="157" t="s">
        <v>15</v>
      </c>
      <c r="C45" s="157"/>
      <c r="D45" s="157"/>
      <c r="E45" s="157"/>
      <c r="F45" s="157"/>
      <c r="G45" s="10">
        <f>'Main data'!AC6</f>
        <v>0</v>
      </c>
      <c r="H45" s="148" t="s">
        <v>51</v>
      </c>
      <c r="I45" s="148"/>
      <c r="J45" s="148"/>
      <c r="R45" s="132" t="s">
        <v>79</v>
      </c>
      <c r="S45" s="132"/>
      <c r="T45" s="132"/>
    </row>
    <row r="46" spans="1:20" ht="16.5" customHeight="1" x14ac:dyDescent="0.2">
      <c r="A46" s="3" t="s">
        <v>106</v>
      </c>
      <c r="B46" s="157" t="s">
        <v>16</v>
      </c>
      <c r="C46" s="157"/>
      <c r="D46" s="157"/>
      <c r="E46" s="157"/>
      <c r="F46" s="157"/>
      <c r="G46" s="10">
        <f>'Main data'!AD6</f>
        <v>0</v>
      </c>
      <c r="H46" s="134" t="s">
        <v>52</v>
      </c>
      <c r="I46" s="134"/>
      <c r="J46" s="134"/>
    </row>
    <row r="47" spans="1:20" ht="16.5" customHeight="1" x14ac:dyDescent="0.2">
      <c r="A47" s="159" t="s">
        <v>17</v>
      </c>
      <c r="B47" s="159"/>
      <c r="C47" s="159"/>
      <c r="D47" s="159"/>
      <c r="E47" s="159"/>
      <c r="F47" s="159"/>
      <c r="G47" s="17">
        <f>SUM(G37:G46)</f>
        <v>0</v>
      </c>
    </row>
    <row r="48" spans="1:20" ht="16.5" customHeight="1" x14ac:dyDescent="0.2">
      <c r="A48" s="2"/>
      <c r="B48" s="2"/>
      <c r="C48" s="2"/>
      <c r="D48" s="2"/>
      <c r="E48" s="2"/>
      <c r="F48" s="2"/>
      <c r="G48" s="5">
        <f>IF(G47&gt;=150000,150000,G47)</f>
        <v>0</v>
      </c>
    </row>
    <row r="49" spans="1:7" ht="16.5" customHeight="1" x14ac:dyDescent="0.2">
      <c r="A49" s="42">
        <v>11</v>
      </c>
      <c r="B49" s="160" t="s">
        <v>126</v>
      </c>
      <c r="C49" s="160"/>
      <c r="D49" s="160"/>
      <c r="E49" s="160"/>
      <c r="F49" s="160"/>
      <c r="G49" s="45">
        <f>IF('Main data'!AE6&gt;=50000,"50000",'Main data'!AE6)</f>
        <v>0</v>
      </c>
    </row>
    <row r="50" spans="1:7" ht="16.5" customHeight="1" x14ac:dyDescent="0.2">
      <c r="A50" s="6">
        <v>12</v>
      </c>
      <c r="B50" s="160" t="s">
        <v>88</v>
      </c>
      <c r="C50" s="160"/>
      <c r="D50" s="160"/>
      <c r="E50" s="160"/>
      <c r="F50" s="160"/>
      <c r="G50" s="45">
        <f>IF('Main data'!AF6&gt;=25000,"25000",'Main data'!AF6)+IF('Main data'!AG6&gt;=25000,"25000",'Main data'!AG6)+IF('Main data'!AH6&gt;=50000,"50000",'Main data'!AH6)</f>
        <v>0</v>
      </c>
    </row>
    <row r="51" spans="1:7" ht="16.5" hidden="1" customHeight="1" x14ac:dyDescent="0.2">
      <c r="A51" s="6"/>
      <c r="B51" s="160" t="s">
        <v>88</v>
      </c>
      <c r="C51" s="160"/>
      <c r="D51" s="160"/>
      <c r="E51" s="160"/>
      <c r="F51" s="160"/>
      <c r="G51" s="9">
        <f>IF(G50&gt;=500000,150000,G50)</f>
        <v>0</v>
      </c>
    </row>
    <row r="52" spans="1:7" ht="16.5" customHeight="1" x14ac:dyDescent="0.2">
      <c r="A52" s="6">
        <v>13</v>
      </c>
      <c r="B52" s="160" t="s">
        <v>132</v>
      </c>
      <c r="C52" s="160"/>
      <c r="D52" s="160"/>
      <c r="E52" s="160"/>
      <c r="F52" s="160"/>
      <c r="G52" s="9">
        <f>'Main data'!AI6</f>
        <v>0</v>
      </c>
    </row>
    <row r="53" spans="1:7" ht="16.5" customHeight="1" x14ac:dyDescent="0.2">
      <c r="A53" s="6">
        <v>14</v>
      </c>
      <c r="B53" s="160" t="s">
        <v>96</v>
      </c>
      <c r="C53" s="160"/>
      <c r="D53" s="160"/>
      <c r="E53" s="160"/>
      <c r="F53" s="160"/>
      <c r="G53" s="20">
        <f>IF('Main data'!L6&gt;=10000,"10000",'Main data'!L6)</f>
        <v>0</v>
      </c>
    </row>
    <row r="54" spans="1:7" ht="16.5" customHeight="1" x14ac:dyDescent="0.2">
      <c r="A54" s="6">
        <v>15</v>
      </c>
      <c r="B54" s="161" t="s">
        <v>152</v>
      </c>
      <c r="C54" s="161"/>
      <c r="D54" s="161"/>
      <c r="E54" s="161"/>
      <c r="F54" s="161"/>
      <c r="G54" s="82">
        <f>IF('Main data'!AJ6&gt;=75000,"75000",'Main data'!AJ6)</f>
        <v>0</v>
      </c>
    </row>
    <row r="55" spans="1:7" ht="16.5" customHeight="1" x14ac:dyDescent="0.2">
      <c r="A55" s="5">
        <v>16</v>
      </c>
      <c r="B55" s="152" t="s">
        <v>153</v>
      </c>
      <c r="C55" s="152"/>
      <c r="D55" s="152"/>
      <c r="E55" s="152"/>
      <c r="F55" s="152"/>
      <c r="G55" s="43">
        <f>G48+G49+G50+G52+G53+G54</f>
        <v>0</v>
      </c>
    </row>
  </sheetData>
  <sheetProtection password="D5A4" sheet="1" formatCells="0" formatColumns="0" formatRows="0" insertColumns="0" insertRows="0" insertHyperlinks="0" deleteColumns="0" deleteRows="0" sort="0" autoFilter="0" pivotTables="0"/>
  <customSheetViews>
    <customSheetView guid="{E6A9D0A8-5CFD-4D21-BBB4-51B5F05875BD}" showPageBreaks="1" showGridLines="0" hiddenRows="1">
      <selection activeCell="M6" sqref="M6"/>
      <pageMargins left="0.47" right="0.75" top="0.51041666666666663" bottom="1" header="0.5" footer="0.5"/>
      <pageSetup paperSize="9" orientation="portrait" horizontalDpi="180" verticalDpi="180" r:id="rId1"/>
      <headerFooter alignWithMargins="0"/>
    </customSheetView>
  </customSheetViews>
  <mergeCells count="76">
    <mergeCell ref="Q20:T20"/>
    <mergeCell ref="E6:G6"/>
    <mergeCell ref="H42:T42"/>
    <mergeCell ref="R45:T45"/>
    <mergeCell ref="H45:J45"/>
    <mergeCell ref="H23:T23"/>
    <mergeCell ref="H25:N25"/>
    <mergeCell ref="O25:T25"/>
    <mergeCell ref="I10:L10"/>
    <mergeCell ref="I11:L11"/>
    <mergeCell ref="I12:L12"/>
    <mergeCell ref="I13:L13"/>
    <mergeCell ref="I14:L14"/>
    <mergeCell ref="E8:G8"/>
    <mergeCell ref="E9:G9"/>
    <mergeCell ref="E12:G12"/>
    <mergeCell ref="I1:L1"/>
    <mergeCell ref="I2:L2"/>
    <mergeCell ref="I5:L5"/>
    <mergeCell ref="I8:L8"/>
    <mergeCell ref="I9:L9"/>
    <mergeCell ref="I4:L4"/>
    <mergeCell ref="B31:F31"/>
    <mergeCell ref="B10:D10"/>
    <mergeCell ref="B11:D11"/>
    <mergeCell ref="E10:G10"/>
    <mergeCell ref="E11:G11"/>
    <mergeCell ref="E13:G13"/>
    <mergeCell ref="B12:D12"/>
    <mergeCell ref="B13:D13"/>
    <mergeCell ref="B17:F17"/>
    <mergeCell ref="B19:F19"/>
    <mergeCell ref="B18:F18"/>
    <mergeCell ref="B27:F27"/>
    <mergeCell ref="B28:F28"/>
    <mergeCell ref="B29:D29"/>
    <mergeCell ref="B30:F30"/>
    <mergeCell ref="B45:F45"/>
    <mergeCell ref="B46:F46"/>
    <mergeCell ref="A47:F47"/>
    <mergeCell ref="B55:F55"/>
    <mergeCell ref="B50:F50"/>
    <mergeCell ref="B53:F53"/>
    <mergeCell ref="B49:F49"/>
    <mergeCell ref="B51:F51"/>
    <mergeCell ref="B52:F52"/>
    <mergeCell ref="B54:F54"/>
    <mergeCell ref="B42:F42"/>
    <mergeCell ref="B35:F35"/>
    <mergeCell ref="B44:F44"/>
    <mergeCell ref="B32:F32"/>
    <mergeCell ref="B40:F40"/>
    <mergeCell ref="A36:F36"/>
    <mergeCell ref="B38:F38"/>
    <mergeCell ref="B41:F41"/>
    <mergeCell ref="B43:F43"/>
    <mergeCell ref="B39:F39"/>
    <mergeCell ref="B34:F34"/>
    <mergeCell ref="A33:F33"/>
    <mergeCell ref="B37:F37"/>
    <mergeCell ref="H46:J46"/>
    <mergeCell ref="A1:G1"/>
    <mergeCell ref="A2:G2"/>
    <mergeCell ref="B25:F25"/>
    <mergeCell ref="B26:F26"/>
    <mergeCell ref="A21:F21"/>
    <mergeCell ref="B22:F22"/>
    <mergeCell ref="B23:F23"/>
    <mergeCell ref="A22:A23"/>
    <mergeCell ref="B20:F20"/>
    <mergeCell ref="A24:F24"/>
    <mergeCell ref="B5:D5"/>
    <mergeCell ref="B6:D6"/>
    <mergeCell ref="B8:D8"/>
    <mergeCell ref="B9:D9"/>
    <mergeCell ref="E5:G5"/>
  </mergeCells>
  <phoneticPr fontId="0" type="noConversion"/>
  <pageMargins left="0.47" right="0.74" top="0.51041666666666663" bottom="0.49" header="0.5" footer="0.5"/>
  <pageSetup paperSize="9" scale="97" orientation="portrait" horizontalDpi="180" verticalDpi="180" r:id="rId2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data</vt:lpstr>
      <vt:lpstr>New Regime</vt:lpstr>
      <vt:lpstr>Old Regime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2025-09-27T18:18:18Z</cp:lastPrinted>
  <dcterms:created xsi:type="dcterms:W3CDTF">2015-01-02T09:10:10Z</dcterms:created>
  <dcterms:modified xsi:type="dcterms:W3CDTF">2025-10-16T14:19:15Z</dcterms:modified>
</cp:coreProperties>
</file>